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JqEvGmlYadxZ5fkktQ3lC1d+oGFjuOsGgxFteD7G+MOlh9msf3c9XpDgsSXQc4/8lWRLJgcIif0f5E+2TEu8Q==" workbookSaltValue="rcdYu7ux/c+O18v5tP3Bc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X12" i="21" s="1"/>
  <c r="Z19" i="8"/>
  <c r="AL13" i="16"/>
  <c r="BH11" i="16"/>
  <c r="BH17" i="16"/>
  <c r="BM16" i="11"/>
  <c r="BF17" i="11"/>
  <c r="S17" i="16"/>
  <c r="S13" i="16"/>
  <c r="P13" i="16"/>
  <c r="AN13" i="20"/>
  <c r="Z13" i="17"/>
  <c r="AN17" i="11"/>
  <c r="H13" i="12"/>
  <c r="T19" i="8"/>
  <c r="S9" i="17"/>
  <c r="BM12" i="11"/>
  <c r="V9" i="11"/>
  <c r="R10" i="21"/>
  <c r="R13" i="21" s="1"/>
  <c r="BG9" i="11"/>
  <c r="BH17" i="11"/>
  <c r="AP17" i="20"/>
  <c r="BU11" i="17"/>
  <c r="BU10" i="17"/>
  <c r="BW12" i="20"/>
  <c r="BW11" i="20"/>
  <c r="BW10" i="20"/>
  <c r="BU12" i="17"/>
  <c r="AA17" i="16"/>
  <c r="X15" i="17"/>
  <c r="BG12" i="11"/>
  <c r="Q17" i="17"/>
  <c r="BH10" i="11"/>
  <c r="BI9" i="11"/>
  <c r="AQ10" i="21"/>
  <c r="S10" i="17"/>
  <c r="BH10" i="16"/>
  <c r="Q15" i="17"/>
  <c r="BM17" i="11"/>
  <c r="BF15" i="11"/>
  <c r="BH16" i="11"/>
  <c r="AQ12" i="21"/>
  <c r="BJ16" i="11"/>
  <c r="BL16" i="11"/>
  <c r="BD9" i="8"/>
  <c r="BA13" i="8"/>
  <c r="E13" i="17"/>
  <c r="L17" i="2"/>
  <c r="U9" i="17"/>
  <c r="U19" i="17" s="1"/>
  <c r="L9" i="2"/>
  <c r="T13" i="20"/>
  <c r="T13" i="16"/>
  <c r="AP13" i="16"/>
  <c r="AA9" i="16"/>
  <c r="T18" i="17"/>
  <c r="BG15" i="13"/>
  <c r="J20" i="20"/>
  <c r="AF20" i="20"/>
  <c r="M20" i="20"/>
  <c r="AG20" i="20"/>
  <c r="S20" i="20"/>
  <c r="AM20" i="20"/>
  <c r="AK20" i="20"/>
  <c r="F20" i="20"/>
  <c r="K20" i="20"/>
  <c r="Z20" i="20"/>
  <c r="W20" i="21"/>
  <c r="D17" i="6" l="1"/>
  <c r="J17" i="12" s="1"/>
  <c r="AJ19" i="8"/>
  <c r="AH13" i="16"/>
  <c r="AA19" i="8"/>
  <c r="AO12" i="11"/>
  <c r="BF12" i="8"/>
  <c r="BG12" i="8"/>
  <c r="T13" i="12"/>
  <c r="I19" i="8"/>
  <c r="BG9" i="8"/>
  <c r="K9" i="7" s="1"/>
  <c r="BF9" i="8"/>
  <c r="BE9" i="8"/>
  <c r="I9" i="7" s="1"/>
  <c r="C19" i="3"/>
  <c r="BG16" i="13"/>
  <c r="G18" i="2"/>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J9" i="12" l="1"/>
  <c r="I12" i="12"/>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<sst xmlns="http://schemas.openxmlformats.org/spreadsheetml/2006/main" count="2080" uniqueCount="914">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</sst>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BuA/pVTBj47jbQjmGg1t2BYLKMkFCHoJRO+GzNIC2FxsLQNkxVGFMeVX+MS3yvqEgCinQALNmlIKix5LaGLjQ==" saltValue="O1U8pmc84X/iAOFKX9h/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4.4869109947643979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67</v>
      </c>
      <c r="D10" s="228">
        <f>IF(ISNUMBER(Datos!I10),Datos!I10," - ")</f>
        <v>67</v>
      </c>
      <c r="E10" s="229">
        <f>IF(ISNUMBER(Datos!J10),Datos!J10," - ")</f>
        <v>107</v>
      </c>
      <c r="F10" s="229">
        <f>IF(ISNUMBER(Datos!K10),Datos!K10," - ")</f>
        <v>82</v>
      </c>
      <c r="G10" s="1037" t="str">
        <f>IF(Datos!E10&lt;&gt;"",Datos!E10,Datos!D10)</f>
        <v>37</v>
      </c>
      <c r="H10" s="230">
        <f>IF(ISNUMBER(Datos!L10),Datos!L10," - ")</f>
        <v>92</v>
      </c>
      <c r="I10" s="1047" t="str">
        <f>IF(ISNUMBER(Datos!AS10/Datos!BM10),Datos!AS10/Datos!BM10," - ")</f>
        <v xml:space="preserve"> - </v>
      </c>
      <c r="J10" s="1048">
        <f>IF(ISNUMBER(Datos!BY10/Datos!CN10),Datos!BY10/Datos!CN10," - ")</f>
        <v>0</v>
      </c>
      <c r="K10" s="233">
        <f t="shared" ref="K10:K12" si="1">IF(ISNUMBER((E10-F10)/C10),(E10-F10)/C10," - ")</f>
        <v>0.37313432835820898</v>
      </c>
      <c r="L10" s="1028">
        <f>IF(ISNUMBER(NºAsuntos!I10/NºAsuntos!G10),(NºAsuntos!I10/NºAsuntos!G10)*11," - ")</f>
        <v>12.341463414634148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0</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107</v>
      </c>
      <c r="F13" s="1054">
        <f>SUBTOTAL(9,F9:F12)</f>
        <v>82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1670</v>
      </c>
      <c r="D15" s="228">
        <f>IF(ISNUMBER(IF(D_I="SI",Datos!I15,Datos!I15+Datos!AC15)),IF(D_I="SI",Datos!I15,Datos!I15+Datos!AC15)," - ")</f>
        <v>1386</v>
      </c>
      <c r="E15" s="229">
        <f>IF(ISNUMBER(IF(D_I="SI",Datos!J15,Datos!J15+Datos!AD15)),IF(D_I="SI",Datos!J15,Datos!J15+Datos!AD15)," - ")</f>
        <v>8607</v>
      </c>
      <c r="F15" s="229">
        <f>IF(ISNUMBER(IF(D_I="SI",Datos!K15,Datos!K15+Datos!AE15)),IF(D_I="SI",Datos!K15,Datos!K15+Datos!AE15)," - ")</f>
        <v>8265</v>
      </c>
      <c r="G15" s="1037" t="str">
        <f>IF(Datos!E15&lt;&gt;"",Datos!E15,Datos!D15)</f>
        <v>03</v>
      </c>
      <c r="H15" s="230">
        <f>IF(ISNUMBER(IF(D_I="SI",Datos!L15,Datos!L15+Datos!AF15)),IF(D_I="SI",Datos!L15,Datos!L15+Datos!AF15)," - ")</f>
        <v>2012</v>
      </c>
      <c r="I15" s="1047" t="str">
        <f>IF(ISNUMBER(Datos!AS15/Datos!BM15),Datos!AS15/Datos!BM15," - ")</f>
        <v xml:space="preserve"> - </v>
      </c>
      <c r="J15" s="1048">
        <f>IF(ISNUMBER(Datos!BY15/Datos!CN15),Datos!BY15/Datos!CN15," - ")</f>
        <v>0</v>
      </c>
      <c r="K15" s="233">
        <f t="shared" ref="K15:K17" si="3">IF(ISNUMBER((E15-F15)/C15),(E15-F15)/C15," - ")</f>
        <v>0.20479041916167665</v>
      </c>
      <c r="L15" s="1028">
        <f>IF(ISNUMBER(NºAsuntos!I15/NºAsuntos!G15),(NºAsuntos!I15/NºAsuntos!G15)*11," - ")</f>
        <v>2.6777979431336965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93</v>
      </c>
      <c r="D17" s="228">
        <f>IF(ISNUMBER(IF(D_I="SI",Datos!I17,Datos!I17+Datos!AC17)),IF(D_I="SI",Datos!I17,Datos!I17+Datos!AC17)," - ")</f>
        <v>92</v>
      </c>
      <c r="E17" s="229">
        <f>IF(ISNUMBER(IF(D_I="SI",Datos!J17,Datos!J17+Datos!AD17)),IF(D_I="SI",Datos!J17,Datos!J17+Datos!AD17)," - ")</f>
        <v>930</v>
      </c>
      <c r="F17" s="229">
        <f>IF(ISNUMBER(IF(D_I="SI",Datos!K17,Datos!K17+Datos!AE17)),IF(D_I="SI",Datos!K17,Datos!K17+Datos!AE17)," - ")</f>
        <v>914</v>
      </c>
      <c r="G17" s="1037" t="str">
        <f>IF(Datos!E17&lt;&gt;"",Datos!E17,Datos!D17)</f>
        <v>37</v>
      </c>
      <c r="H17" s="230">
        <f>IF(ISNUMBER(IF(D_I="SI",Datos!L17,Datos!L17+Datos!AF17)),IF(D_I="SI",Datos!L17,Datos!L17+Datos!AF17)," - ")</f>
        <v>109</v>
      </c>
      <c r="I17" s="1047" t="str">
        <f>IF(ISNUMBER(Datos!AS17/Datos!BM17),Datos!AS17/Datos!BM17," - ")</f>
        <v xml:space="preserve"> - </v>
      </c>
      <c r="J17" s="1048" t="str">
        <f>IF(ISNUMBER((Datos!BY17+Datos!BZ17)/Datos!CN17),(Datos!BY17+Datos!BZ17)/Datos!CN17," - ")</f>
        <v xml:space="preserve"> - </v>
      </c>
      <c r="K17" s="233">
        <f t="shared" si="3"/>
        <v>0.17204301075268819</v>
      </c>
      <c r="L17" s="1028">
        <f>IF(ISNUMBER(NºAsuntos!I17/NºAsuntos!G17),(NºAsuntos!I17/NºAsuntos!G17)*11," - ")</f>
        <v>1.311816192560175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1763</v>
      </c>
      <c r="D18" s="1052">
        <f>SUBTOTAL(9,D15:D17)</f>
        <v>1478</v>
      </c>
      <c r="E18" s="1053">
        <f>SUBTOTAL(9,E15:E17)</f>
        <v>9537</v>
      </c>
      <c r="F18" s="1053">
        <f>SUBTOTAL(9,F15:F17)</f>
        <v>9179</v>
      </c>
      <c r="G18" s="1055" t="str">
        <f ca="1">INDIRECT(CONCATENATE("G",ROW()-1))</f>
        <v>37</v>
      </c>
      <c r="H18" s="1056">
        <f ca="1">SUMIF(G$14:G17,G18,H$14:H17)</f>
        <v>109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1830</v>
      </c>
      <c r="D19" s="1074">
        <f>SUBTOTAL(9,D9:D18)</f>
        <v>1545</v>
      </c>
      <c r="E19" s="1075">
        <f>SUBTOTAL(9,E9:E18)</f>
        <v>9644</v>
      </c>
      <c r="F19" s="1075">
        <f>SUBTOTAL(9,F9:F18)</f>
        <v>9261</v>
      </c>
      <c r="G19" s="1076"/>
      <c r="H19" s="1077">
        <f ca="1">SUMIF(B9:B18,"TOTAL",H9:H18)</f>
        <v>109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CBob3BveFOTh1c2niUGpi+4AlSkl90k9HpvJKdELXeHAbqCIMGu2heVvcMLtW24meKwEXrJjtBtNTUTtQvmXA==" saltValue="bzqE+opf5GQhXI2b+vW2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mWjAGnD5wgYyKChlxtCobHiKlaCwIlbT+QD8Ukh6SjknYeyvjM6V0f62zQbaZBdHbMoJl3Jote7iYpB9gN6fw==" saltValue="yFY3E60jxx1LVCtPbXyY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4369</v>
      </c>
      <c r="J9" s="184">
        <v>9469</v>
      </c>
      <c r="K9" s="184">
        <v>9632</v>
      </c>
      <c r="L9" s="184">
        <v>4104</v>
      </c>
      <c r="M9" s="184">
        <v>1649</v>
      </c>
      <c r="N9" s="184">
        <v>3899</v>
      </c>
      <c r="O9" s="184">
        <v>6343</v>
      </c>
      <c r="P9" s="184">
        <v>2295</v>
      </c>
      <c r="Q9" s="184">
        <v>2925</v>
      </c>
      <c r="R9" s="184">
        <v>8006</v>
      </c>
      <c r="S9" s="184">
        <v>3860</v>
      </c>
      <c r="T9" s="184">
        <v>8460</v>
      </c>
      <c r="U9" s="184">
        <v>7906</v>
      </c>
      <c r="V9" s="184">
        <v>4369</v>
      </c>
      <c r="W9" s="184">
        <v>1547</v>
      </c>
      <c r="X9" s="191">
        <v>3291</v>
      </c>
      <c r="Y9" s="194">
        <v>236</v>
      </c>
      <c r="Z9" s="184">
        <v>779</v>
      </c>
      <c r="AA9" s="184">
        <v>873</v>
      </c>
      <c r="AB9" s="184">
        <v>181</v>
      </c>
      <c r="AC9" s="184">
        <v>0</v>
      </c>
      <c r="AD9" s="184">
        <v>0</v>
      </c>
      <c r="AE9" s="184">
        <v>0</v>
      </c>
      <c r="AF9" s="191">
        <v>0</v>
      </c>
      <c r="AG9" s="194">
        <v>266</v>
      </c>
      <c r="AH9" s="184">
        <v>878</v>
      </c>
      <c r="AI9" s="184">
        <v>903</v>
      </c>
      <c r="AJ9" s="195">
        <v>236</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4126</v>
      </c>
      <c r="AZ9" s="123">
        <f>IF(ISNUMBER(IF(J_V="SI",T9,T9+AH9)),IF(J_V="SI",T9,T9+AH9)," - ")</f>
        <v>9338</v>
      </c>
      <c r="BA9" s="124">
        <f>IF(ISNUMBER(IF(J_V="SI",U9,U9+AI9)),IF(J_V="SI",U9,U9+AI9)," - ")</f>
        <v>8809</v>
      </c>
      <c r="BB9" s="124">
        <f>IF(ISNUMBER(IF(J_V="SI",V9,V9+AJ9)),IF(J_V="SI",V9,V9+AJ9)," - ")</f>
        <v>4605</v>
      </c>
      <c r="BC9" s="125">
        <f>IF(ISNUMBER(X9),X9," - ")</f>
        <v>3291</v>
      </c>
      <c r="BD9" s="126">
        <f>IF(ISNUMBER(BA9/AZ9),BA9/AZ9," - ")</f>
        <v>0.94334975369458129</v>
      </c>
      <c r="BE9" s="127">
        <f>IF(ISNUMBER(BB9/BA9),BB9/BA9, " - ")</f>
        <v>0.52276081280508568</v>
      </c>
      <c r="BF9" s="127">
        <f>IF(ISNUMBER(BC9/BA9),BC9/BA9, " - ")</f>
        <v>0.37359518674083325</v>
      </c>
      <c r="BG9" s="199">
        <f>IF(ISNUMBER((AY9+AZ9)/BA9),(AY9+AZ9)/BA9," - ")</f>
        <v>1.5284368259734362</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67</v>
      </c>
      <c r="J10" s="184">
        <v>107</v>
      </c>
      <c r="K10" s="184">
        <v>82</v>
      </c>
      <c r="L10" s="184">
        <v>92</v>
      </c>
      <c r="M10" s="184">
        <v>36</v>
      </c>
      <c r="N10" s="184">
        <v>37</v>
      </c>
      <c r="O10" s="184">
        <v>30</v>
      </c>
      <c r="P10" s="184">
        <v>34</v>
      </c>
      <c r="Q10" s="184">
        <v>25</v>
      </c>
      <c r="R10" s="184">
        <v>70</v>
      </c>
      <c r="S10" s="184">
        <v>40</v>
      </c>
      <c r="T10" s="184">
        <v>101</v>
      </c>
      <c r="U10" s="184">
        <v>74</v>
      </c>
      <c r="V10" s="184">
        <v>67</v>
      </c>
      <c r="W10" s="184">
        <v>25</v>
      </c>
      <c r="X10" s="191">
        <v>36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40</v>
      </c>
      <c r="AZ10" s="129">
        <f t="shared" si="0"/>
        <v>101</v>
      </c>
      <c r="BA10" s="129">
        <f t="shared" si="0"/>
        <v>74</v>
      </c>
      <c r="BB10" s="129">
        <f t="shared" si="0"/>
        <v>67</v>
      </c>
      <c r="BC10" s="125">
        <f t="shared" si="0"/>
        <v>25</v>
      </c>
      <c r="BD10" s="126">
        <f>IF(ISNUMBER(BA10/AZ10),BA10/AZ10," - ")</f>
        <v>0.73267326732673266</v>
      </c>
      <c r="BE10" s="127">
        <f>IF(ISNUMBER(BB10/BA10),BB10/BA10, " - ")</f>
        <v>0.90540540540540537</v>
      </c>
      <c r="BF10" s="127">
        <f>IF(ISNUMBER(BC10/BA10),BC10/BA10, " - ")</f>
        <v>0.33783783783783783</v>
      </c>
      <c r="BG10" s="199">
        <f>IF(ISNUMBER((AY10+AZ10)/BA10),(AY10+AZ10)/BA10," - ")</f>
        <v>1.9054054054054055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v>
      </c>
      <c r="J12" s="186">
        <v>0</v>
      </c>
      <c r="K12" s="186">
        <v>1</v>
      </c>
      <c r="L12" s="186">
        <v>0</v>
      </c>
      <c r="M12" s="186">
        <v>0</v>
      </c>
      <c r="N12" s="186">
        <v>4</v>
      </c>
      <c r="O12" s="184">
        <v>2</v>
      </c>
      <c r="P12" s="186">
        <v>0</v>
      </c>
      <c r="Q12" s="186">
        <v>6</v>
      </c>
      <c r="R12" s="186">
        <v>277</v>
      </c>
      <c r="S12" s="186">
        <v>1</v>
      </c>
      <c r="T12" s="186">
        <v>2</v>
      </c>
      <c r="U12" s="186">
        <v>2</v>
      </c>
      <c r="V12" s="186">
        <v>1</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803</v>
      </c>
      <c r="AT12" s="206"/>
      <c r="AU12" s="205"/>
      <c r="AV12" s="206"/>
      <c r="AW12" s="205"/>
      <c r="AX12" s="206"/>
      <c r="AY12" s="126">
        <f t="shared" si="1"/>
        <v>1</v>
      </c>
      <c r="AZ12" s="127">
        <f t="shared" si="1"/>
        <v>2</v>
      </c>
      <c r="BA12" s="127">
        <f t="shared" si="1"/>
        <v>2</v>
      </c>
      <c r="BB12" s="127">
        <f t="shared" si="1"/>
        <v>1</v>
      </c>
      <c r="BC12" s="125">
        <f>IF(ISNUMBER(X12),X12," - ")</f>
        <v>0</v>
      </c>
      <c r="BD12" s="126">
        <f t="shared" si="2"/>
        <v>1</v>
      </c>
      <c r="BE12" s="127">
        <f t="shared" si="3"/>
        <v>0.5</v>
      </c>
      <c r="BF12" s="127">
        <f t="shared" si="4"/>
        <v>0</v>
      </c>
      <c r="BG12" s="199">
        <f t="shared" si="5"/>
        <v>1.5</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4437</v>
      </c>
      <c r="J13" s="187">
        <f t="shared" si="6"/>
        <v>9576</v>
      </c>
      <c r="K13" s="187">
        <f t="shared" si="6"/>
        <v>9715</v>
      </c>
      <c r="L13" s="187">
        <f t="shared" si="6"/>
        <v>4196</v>
      </c>
      <c r="M13" s="187">
        <f t="shared" si="6"/>
        <v>1685</v>
      </c>
      <c r="N13" s="187">
        <f t="shared" si="6"/>
        <v>3940</v>
      </c>
      <c r="O13" s="187">
        <f t="shared" si="6"/>
        <v>6375</v>
      </c>
      <c r="P13" s="187">
        <f t="shared" si="6"/>
        <v>2329</v>
      </c>
      <c r="Q13" s="187">
        <f t="shared" si="6"/>
        <v>2956</v>
      </c>
      <c r="R13" s="187">
        <f t="shared" si="6"/>
        <v>8353</v>
      </c>
      <c r="S13" s="187">
        <f t="shared" si="6"/>
        <v>3901</v>
      </c>
      <c r="T13" s="187">
        <f t="shared" si="6"/>
        <v>8563</v>
      </c>
      <c r="U13" s="187">
        <f t="shared" si="6"/>
        <v>7982</v>
      </c>
      <c r="V13" s="187">
        <f t="shared" si="6"/>
        <v>4437</v>
      </c>
      <c r="W13" s="187">
        <f t="shared" si="6"/>
        <v>1572</v>
      </c>
      <c r="X13" s="187">
        <f t="shared" si="6"/>
        <v>3327</v>
      </c>
      <c r="Y13" s="187">
        <f t="shared" si="6"/>
        <v>236</v>
      </c>
      <c r="Z13" s="187">
        <f t="shared" si="6"/>
        <v>779</v>
      </c>
      <c r="AA13" s="187">
        <f t="shared" si="6"/>
        <v>873</v>
      </c>
      <c r="AB13" s="187">
        <f t="shared" si="6"/>
        <v>181</v>
      </c>
      <c r="AC13" s="187">
        <f t="shared" si="6"/>
        <v>0</v>
      </c>
      <c r="AD13" s="187">
        <f t="shared" si="6"/>
        <v>0</v>
      </c>
      <c r="AE13" s="187">
        <f t="shared" si="6"/>
        <v>0</v>
      </c>
      <c r="AF13" s="187">
        <f>SUBTOTAL(9,AF9:AF12)</f>
        <v>0</v>
      </c>
      <c r="AG13" s="187">
        <f t="shared" ref="AG13:AT13" si="7">SUBTOTAL(9,AG8:AG12)</f>
        <v>266</v>
      </c>
      <c r="AH13" s="187">
        <f t="shared" si="7"/>
        <v>878</v>
      </c>
      <c r="AI13" s="187">
        <f t="shared" si="7"/>
        <v>903</v>
      </c>
      <c r="AJ13" s="187">
        <f t="shared" si="7"/>
        <v>236</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4167</v>
      </c>
      <c r="AZ13" s="187">
        <f>SUBTOTAL(9,AZ8:AZ12)</f>
        <v>9441</v>
      </c>
      <c r="BA13" s="187">
        <f>SUBTOTAL(9,BA8:BA12)</f>
        <v>8885</v>
      </c>
      <c r="BB13" s="187">
        <f>SUBTOTAL(9,BB8:BB12)</f>
        <v>4673</v>
      </c>
      <c r="BC13" s="187">
        <f>SUBTOTAL(9,BC8:BC12)</f>
        <v>3316</v>
      </c>
      <c r="BD13" s="208">
        <f>IF(ISNUMBER(BA13/AZ13),BA13/AZ13," - ")</f>
        <v>0.94110793348162269</v>
      </c>
      <c r="BE13" s="209">
        <f>IF(ISNUMBER(BB13/BA13),BB13/BA13, " - ")</f>
        <v>0.52594259988745073</v>
      </c>
      <c r="BF13" s="209">
        <f>IF(ISNUMBER(BC13/BA13),BC13/BA13, " - ")</f>
        <v>0.37321328081035454</v>
      </c>
      <c r="BG13" s="210">
        <f>IF(ISNUMBER((AY13+AZ13)/BA13),(AY13+AZ13)/BA13," - ")</f>
        <v>1.5315700619020822</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1386</v>
      </c>
      <c r="J15" s="186">
        <v>8607</v>
      </c>
      <c r="K15" s="186">
        <v>8265</v>
      </c>
      <c r="L15" s="186">
        <v>2012</v>
      </c>
      <c r="M15" s="186">
        <v>1498</v>
      </c>
      <c r="N15" s="186">
        <v>4379</v>
      </c>
      <c r="O15" s="184">
        <v>355</v>
      </c>
      <c r="P15" s="186">
        <v>446</v>
      </c>
      <c r="Q15" s="186">
        <v>452</v>
      </c>
      <c r="R15" s="186">
        <v>317</v>
      </c>
      <c r="S15" s="186">
        <v>1409</v>
      </c>
      <c r="T15" s="186">
        <v>8399</v>
      </c>
      <c r="U15" s="186">
        <v>8658</v>
      </c>
      <c r="V15" s="186">
        <v>1386</v>
      </c>
      <c r="W15" s="186">
        <v>1537</v>
      </c>
      <c r="X15" s="192">
        <v>4617</v>
      </c>
      <c r="Y15" s="205">
        <v>0</v>
      </c>
      <c r="Z15" s="186">
        <v>0</v>
      </c>
      <c r="AA15" s="186">
        <v>0</v>
      </c>
      <c r="AB15" s="186">
        <v>0</v>
      </c>
      <c r="AC15" s="186">
        <v>0</v>
      </c>
      <c r="AD15" s="186">
        <v>30</v>
      </c>
      <c r="AE15" s="186">
        <v>30</v>
      </c>
      <c r="AF15" s="192">
        <v>0</v>
      </c>
      <c r="AG15" s="205">
        <v>0</v>
      </c>
      <c r="AH15" s="186">
        <v>0</v>
      </c>
      <c r="AI15" s="186">
        <v>0</v>
      </c>
      <c r="AJ15" s="206">
        <v>0</v>
      </c>
      <c r="AK15" s="185">
        <v>0</v>
      </c>
      <c r="AL15" s="186">
        <v>101</v>
      </c>
      <c r="AM15" s="186">
        <v>101</v>
      </c>
      <c r="AN15" s="192">
        <v>0</v>
      </c>
      <c r="AO15" s="262">
        <v>3</v>
      </c>
      <c r="AP15" s="158">
        <v>3</v>
      </c>
      <c r="AQ15" s="158">
        <v>3</v>
      </c>
      <c r="AR15" s="158">
        <v>3</v>
      </c>
      <c r="AS15" s="343" t="s">
        <v>527</v>
      </c>
      <c r="AT15" s="206" t="s">
        <v>326</v>
      </c>
      <c r="AU15" s="205"/>
      <c r="AV15" s="206"/>
      <c r="AW15" s="205"/>
      <c r="AX15" s="206"/>
      <c r="AY15" s="128">
        <f t="shared" ref="AY15:BB16" si="9">IF(ISNUMBER(IF(D_I="SI",S15,S15+AK15)),IF(D_I="SI",S15,S15+AK15)," - ")</f>
        <v>1409</v>
      </c>
      <c r="AZ15" s="129">
        <f t="shared" si="9"/>
        <v>8399</v>
      </c>
      <c r="BA15" s="129">
        <f t="shared" si="9"/>
        <v>8658</v>
      </c>
      <c r="BB15" s="129">
        <f t="shared" si="9"/>
        <v>1386</v>
      </c>
      <c r="BC15" s="125">
        <f>IF(ISNUMBER(W15),W15," - ")</f>
        <v>1537</v>
      </c>
      <c r="BD15" s="126">
        <f>IF(ISNUMBER(BA15/AZ15),BA15/AZ15," - ")</f>
        <v>1.0308370044052864</v>
      </c>
      <c r="BE15" s="127">
        <f>IF(ISNUMBER(BB15/BA15),BB15/BA15, " - ")</f>
        <v>0.16008316008316009</v>
      </c>
      <c r="BF15" s="127">
        <f>IF(ISNUMBER(BC15/BA15),BC15/BA15, " - ")</f>
        <v>0.17752367752367754</v>
      </c>
      <c r="BG15" s="199">
        <f t="shared" ref="BG15:BG16" si="10">IF(ISNUMBER((AY15+AZ15)/BA15),(AY15+AZ15)/BA15," - ")</f>
        <v>1.1328251328251329</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92</v>
      </c>
      <c r="J17" s="186">
        <v>930</v>
      </c>
      <c r="K17" s="186">
        <v>914</v>
      </c>
      <c r="L17" s="186">
        <v>109</v>
      </c>
      <c r="M17" s="186">
        <v>238</v>
      </c>
      <c r="N17" s="186">
        <v>677</v>
      </c>
      <c r="O17" s="186">
        <v>58</v>
      </c>
      <c r="P17" s="186">
        <v>59</v>
      </c>
      <c r="Q17" s="186">
        <v>55</v>
      </c>
      <c r="R17" s="186">
        <v>24</v>
      </c>
      <c r="S17" s="186">
        <v>103</v>
      </c>
      <c r="T17" s="186">
        <v>906</v>
      </c>
      <c r="U17" s="186">
        <v>917</v>
      </c>
      <c r="V17" s="186">
        <v>92</v>
      </c>
      <c r="W17" s="186">
        <v>267</v>
      </c>
      <c r="X17" s="192">
        <v>652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103</v>
      </c>
      <c r="AZ17" s="129">
        <f t="shared" si="14"/>
        <v>906</v>
      </c>
      <c r="BA17" s="129">
        <f t="shared" si="14"/>
        <v>917</v>
      </c>
      <c r="BB17" s="129">
        <f t="shared" si="14"/>
        <v>92</v>
      </c>
      <c r="BC17" s="125">
        <f>IF(ISNUMBER(W17),W17," - ")</f>
        <v>267</v>
      </c>
      <c r="BD17" s="126">
        <f>IF(ISNUMBER(BA17/AZ17),BA17/AZ17," - ")</f>
        <v>1.0121412803532008</v>
      </c>
      <c r="BE17" s="127">
        <f>IF(ISNUMBER(BB17/BA17),BB17/BA17, " - ")</f>
        <v>0.10032715376226826</v>
      </c>
      <c r="BF17" s="127">
        <f>IF(ISNUMBER(BC17/BA17),BC17/BA17, " - ")</f>
        <v>0.29116684841875684</v>
      </c>
      <c r="BG17" s="199">
        <f>IF(ISNUMBER((AY17+AZ17)/BA17),(AY17+AZ17)/BA17," - ")</f>
        <v>1.1003271537622683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1478</v>
      </c>
      <c r="J18" s="187">
        <f t="shared" si="15"/>
        <v>9537</v>
      </c>
      <c r="K18" s="187">
        <f t="shared" si="15"/>
        <v>9179</v>
      </c>
      <c r="L18" s="187">
        <f t="shared" si="15"/>
        <v>2121</v>
      </c>
      <c r="M18" s="187">
        <f t="shared" si="15"/>
        <v>1736</v>
      </c>
      <c r="N18" s="187">
        <f t="shared" si="15"/>
        <v>5056</v>
      </c>
      <c r="O18" s="187">
        <f t="shared" si="15"/>
        <v>413</v>
      </c>
      <c r="P18" s="187">
        <f t="shared" si="15"/>
        <v>505</v>
      </c>
      <c r="Q18" s="187">
        <f t="shared" si="15"/>
        <v>507</v>
      </c>
      <c r="R18" s="187">
        <f t="shared" si="15"/>
        <v>341</v>
      </c>
      <c r="S18" s="187">
        <f t="shared" si="15"/>
        <v>1512</v>
      </c>
      <c r="T18" s="187">
        <f t="shared" si="15"/>
        <v>9305</v>
      </c>
      <c r="U18" s="187">
        <f t="shared" si="15"/>
        <v>9575</v>
      </c>
      <c r="V18" s="187">
        <f t="shared" si="15"/>
        <v>1478</v>
      </c>
      <c r="W18" s="187">
        <f t="shared" si="15"/>
        <v>1804</v>
      </c>
      <c r="X18" s="187">
        <f t="shared" si="15"/>
        <v>5269</v>
      </c>
      <c r="Y18" s="187">
        <f t="shared" si="15"/>
        <v>0</v>
      </c>
      <c r="Z18" s="187">
        <f t="shared" si="15"/>
        <v>0</v>
      </c>
      <c r="AA18" s="187">
        <f t="shared" si="15"/>
        <v>0</v>
      </c>
      <c r="AB18" s="187">
        <f t="shared" si="15"/>
        <v>0</v>
      </c>
      <c r="AC18" s="187">
        <f t="shared" si="15"/>
        <v>0</v>
      </c>
      <c r="AD18" s="187">
        <f t="shared" si="15"/>
        <v>30</v>
      </c>
      <c r="AE18" s="187">
        <f t="shared" si="15"/>
        <v>30</v>
      </c>
      <c r="AF18" s="187">
        <f t="shared" si="15"/>
        <v>0</v>
      </c>
      <c r="AG18" s="187">
        <f t="shared" si="15"/>
        <v>0</v>
      </c>
      <c r="AH18" s="187">
        <f t="shared" si="15"/>
        <v>0</v>
      </c>
      <c r="AI18" s="187">
        <f t="shared" si="15"/>
        <v>0</v>
      </c>
      <c r="AJ18" s="187">
        <f t="shared" si="15"/>
        <v>0</v>
      </c>
      <c r="AK18" s="187">
        <f t="shared" si="15"/>
        <v>0</v>
      </c>
      <c r="AL18" s="187">
        <f t="shared" si="15"/>
        <v>101</v>
      </c>
      <c r="AM18" s="187">
        <f t="shared" si="15"/>
        <v>101</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1512</v>
      </c>
      <c r="AZ18" s="187">
        <f>SUBTOTAL(9,AZ14:AZ17)</f>
        <v>9305</v>
      </c>
      <c r="BA18" s="187">
        <f>SUBTOTAL(9,BA14:BA17)</f>
        <v>9575</v>
      </c>
      <c r="BB18" s="187">
        <f>SUBTOTAL(9,BB14:BB17)</f>
        <v>1478</v>
      </c>
      <c r="BC18" s="187">
        <f>SUBTOTAL(9,BC14:BC17)</f>
        <v>1804</v>
      </c>
      <c r="BD18" s="208">
        <f>IF(ISNUMBER(BA18/AZ18),BA18/AZ18," - ")</f>
        <v>1.0290166577109081</v>
      </c>
      <c r="BE18" s="209">
        <f>IF(ISNUMBER(BB18/BA18),BB18/BA18, " - ")</f>
        <v>0.15436031331592689</v>
      </c>
      <c r="BF18" s="209">
        <f>IF(ISNUMBER(BC18/BA18),BC18/BA18, " - ")</f>
        <v>0.18840731070496083</v>
      </c>
      <c r="BG18" s="210">
        <f>IF(ISNUMBER((AY18+AZ18)/BA18),(AY18+AZ18)/BA18," - ")</f>
        <v>1.1297127937336815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5915</v>
      </c>
      <c r="J19" s="134">
        <f t="shared" si="18"/>
        <v>19113</v>
      </c>
      <c r="K19" s="134">
        <f t="shared" si="18"/>
        <v>18894</v>
      </c>
      <c r="L19" s="134">
        <f t="shared" si="18"/>
        <v>6317</v>
      </c>
      <c r="M19" s="134">
        <f t="shared" si="18"/>
        <v>3421</v>
      </c>
      <c r="N19" s="134">
        <f t="shared" si="18"/>
        <v>8996</v>
      </c>
      <c r="O19" s="134">
        <f t="shared" si="18"/>
        <v>6788</v>
      </c>
      <c r="P19" s="134">
        <f t="shared" si="18"/>
        <v>2834</v>
      </c>
      <c r="Q19" s="134">
        <f t="shared" si="18"/>
        <v>3463</v>
      </c>
      <c r="R19" s="134">
        <f t="shared" si="18"/>
        <v>8694</v>
      </c>
      <c r="S19" s="134">
        <f t="shared" si="18"/>
        <v>5413</v>
      </c>
      <c r="T19" s="134">
        <f t="shared" si="18"/>
        <v>17868</v>
      </c>
      <c r="U19" s="134">
        <f t="shared" si="18"/>
        <v>17557</v>
      </c>
      <c r="V19" s="134">
        <f t="shared" si="18"/>
        <v>5915</v>
      </c>
      <c r="W19" s="134">
        <f t="shared" si="18"/>
        <v>3376</v>
      </c>
      <c r="X19" s="134">
        <f t="shared" si="18"/>
        <v>8596</v>
      </c>
      <c r="Y19" s="134">
        <f t="shared" si="18"/>
        <v>236</v>
      </c>
      <c r="Z19" s="134">
        <f t="shared" si="18"/>
        <v>779</v>
      </c>
      <c r="AA19" s="134">
        <f t="shared" si="18"/>
        <v>873</v>
      </c>
      <c r="AB19" s="134">
        <f t="shared" si="18"/>
        <v>181</v>
      </c>
      <c r="AC19" s="134">
        <f t="shared" si="18"/>
        <v>0</v>
      </c>
      <c r="AD19" s="134">
        <f t="shared" si="18"/>
        <v>30</v>
      </c>
      <c r="AE19" s="134">
        <f t="shared" si="18"/>
        <v>30</v>
      </c>
      <c r="AF19" s="134">
        <f t="shared" si="18"/>
        <v>0</v>
      </c>
      <c r="AG19" s="134">
        <f t="shared" si="18"/>
        <v>266</v>
      </c>
      <c r="AH19" s="134">
        <f t="shared" si="18"/>
        <v>878</v>
      </c>
      <c r="AI19" s="134">
        <f t="shared" si="18"/>
        <v>903</v>
      </c>
      <c r="AJ19" s="134">
        <f t="shared" si="18"/>
        <v>236</v>
      </c>
      <c r="AK19" s="134">
        <f t="shared" si="18"/>
        <v>0</v>
      </c>
      <c r="AL19" s="134">
        <f t="shared" si="18"/>
        <v>101</v>
      </c>
      <c r="AM19" s="134">
        <f t="shared" si="18"/>
        <v>101</v>
      </c>
      <c r="AN19" s="213">
        <f t="shared" si="18"/>
        <v>0</v>
      </c>
      <c r="AO19" s="214">
        <v>10</v>
      </c>
      <c r="AP19" s="214">
        <v>10</v>
      </c>
      <c r="AQ19" s="214">
        <v>10</v>
      </c>
      <c r="AR19" s="214">
        <v>10</v>
      </c>
      <c r="AS19" s="156">
        <f t="shared" si="18"/>
        <v>0</v>
      </c>
      <c r="AT19" s="156">
        <f t="shared" si="18"/>
        <v>0</v>
      </c>
      <c r="AU19" s="214"/>
      <c r="AV19" s="215"/>
      <c r="AW19" s="214"/>
      <c r="AX19" s="215"/>
      <c r="AY19" s="133">
        <f>SUBTOTAL(9,AY9:AY18)</f>
        <v>5679</v>
      </c>
      <c r="AZ19" s="134">
        <f>SUBTOTAL(9,AZ9:AZ18)</f>
        <v>18746</v>
      </c>
      <c r="BA19" s="134">
        <f>SUBTOTAL(9,BA9:BA18)</f>
        <v>18460</v>
      </c>
      <c r="BB19" s="134">
        <f>SUBTOTAL(9,BB9:BB18)</f>
        <v>6151</v>
      </c>
      <c r="BC19" s="135">
        <f>SUBTOTAL(9,BC9:BC18)</f>
        <v>5120</v>
      </c>
      <c r="BD19" s="216">
        <f>IF(ISNUMBER(BA19/AZ19),BA19/AZ19," - ")</f>
        <v>0.98474341192787795</v>
      </c>
      <c r="BE19" s="213">
        <f>IF(ISNUMBER(BB19/BA19),BB19/BA19, " - ")</f>
        <v>0.33320693391115924</v>
      </c>
      <c r="BF19" s="213">
        <f>IF(ISNUMBER(BC19/BA19),BC19/BA19, " - ")</f>
        <v>0.27735644637053086</v>
      </c>
      <c r="BG19" s="135">
        <f>IF(ISNUMBER((AY19+AZ19)/BA19),(AY19+AZ19)/BA19," - ")</f>
        <v>1.3231310942578549</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JRefN2YPwyY9cR+QNnp4zBhhpe2GHZADNi4/yUpNOpBaKtxP9V3NkRDUgtwDLRvCeBuipTYPgiJv54OB4HfkQ==" saltValue="k7vFBnx9lqaxUZMPD2Aj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Fp50lxs64N+x/8dS34tfst5743hNqNUAc4FzfB4OglAXy9WR3iHQkUMBupMN26GDUSZ6JSstiohDO0j87xRA==" saltValue="vDlmM+Bbf+Zizd8XiO1P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GANDIA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779</v>
      </c>
      <c r="O9" s="337"/>
      <c r="P9" s="337"/>
      <c r="Q9" s="229">
        <f>IF(ISNUMBER(Datos!P9),Datos!P9,0)</f>
        <v>2295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2925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181</v>
      </c>
      <c r="AI9" s="337" t="str">
        <f>IF(ISNUMBER(Datos!CD9),Datos!CD9,"-")</f>
        <v>-</v>
      </c>
      <c r="AJ9" s="337" t="str">
        <f>IF(ISNUMBER(Datos!EN9),Datos!EN9," - ")</f>
        <v xml:space="preserve"> - </v>
      </c>
      <c r="AK9" s="337"/>
      <c r="AL9" s="482"/>
      <c r="AM9" s="338">
        <f>IF(ISNUMBER(Datos!R9),Datos!R9," - ")</f>
        <v>8006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1649</v>
      </c>
      <c r="BD9" s="232">
        <f>IF(ISNUMBER(Datos!N9),Datos!N9," - ")</f>
        <v>3899</v>
      </c>
      <c r="BE9" s="232" t="str">
        <f>IF(ISNUMBER(Datos!BW9),Datos!BW9," - ")</f>
        <v xml:space="preserve"> - </v>
      </c>
      <c r="BF9" s="231" t="str">
        <f>IF(ISNUMBER(Datos!BX9),Datos!BX9," - ")</f>
        <v xml:space="preserve"> - </v>
      </c>
      <c r="BG9" s="246">
        <f>IF(ISNUMBER(IF(J_V="SI",Datos!K9/Datos!J9,(Datos!K9+Datos!AA9)/(Datos!J9+Datos!Z9))),IF(J_V="SI",Datos!K9/Datos!J9,(Datos!K9+Datos!AA9)/(Datos!J9+Datos!Z9))," - ")</f>
        <v>1.0250780640124901</v>
      </c>
      <c r="BH9" s="263">
        <f>IF(ISNUMBER(((IF(J_V="SI",Datos!L9/Datos!K9,(Datos!L9+Datos!AB9)/(Datos!K9+Datos!AA9)))*11)/factor_trimestre),((IF(J_V="SI",Datos!L9/Datos!K9,(Datos!L9+Datos!AB9)/(Datos!K9+Datos!AA9)))*11)/factor_trimestre," - ")</f>
        <v>4.4869109947643979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-7.2950440018527102E-2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82</v>
      </c>
      <c r="AC10" s="229">
        <f>IF(ISNUMBER(Datos!Q10),Datos!Q10," - ")</f>
        <v>25</v>
      </c>
      <c r="AD10" s="337"/>
      <c r="AE10" s="487"/>
      <c r="AF10" s="335">
        <f>IF(ISNUMBER(Datos!L10),Datos!L10,"-")</f>
        <v>92</v>
      </c>
      <c r="AG10" s="337"/>
      <c r="AH10" s="337"/>
      <c r="AI10" s="337"/>
      <c r="AJ10" s="337"/>
      <c r="AK10" s="337"/>
      <c r="AL10" s="482"/>
      <c r="AM10" s="338">
        <f>IF(ISNUMBER(Datos!R10),Datos!R10," - ")</f>
        <v>70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36</v>
      </c>
      <c r="BD10" s="232">
        <f>IF(ISNUMBER(Datos!N10),Datos!N10," - ")</f>
        <v>37</v>
      </c>
      <c r="BE10" s="232" t="str">
        <f>IF(ISNUMBER(Datos!BW10),Datos!BW10," - ")</f>
        <v xml:space="preserve"> - </v>
      </c>
      <c r="BF10" s="231" t="str">
        <f>IF(ISNUMBER(Datos!BX10),Datos!BX10," - ")</f>
        <v xml:space="preserve"> - </v>
      </c>
      <c r="BG10" s="246">
        <f>IF(ISNUMBER(Datos!K10/Datos!J10),Datos!K10/Datos!J10," - ")</f>
        <v>0.76635514018691586</v>
      </c>
      <c r="BH10" s="263">
        <f>IF(ISNUMBER(((Datos!L10/Datos!K10)*11)/factor_trimestre),((Datos!L10/Datos!K10)*11)/factor_trimestre," - ")</f>
        <v>12.341463414634148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0.14754098360655737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277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4</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f>IF(ISNUMBER(((IF(J_V="SI",Datos!L12/Datos!K12,(Datos!L12+Datos!AB12)/(Datos!K12+Datos!AA12)))*11)/factor_trimestre),((IF(J_V="SI",Datos!L12/Datos!K12,(Datos!L12+Datos!AB12)/(Datos!K12+Datos!AA12)))*11)/factor_trimestre," - ")</f>
        <v>0</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-2.1201413427561839E-2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779</v>
      </c>
      <c r="O13" s="903">
        <f t="shared" si="0"/>
        <v>0</v>
      </c>
      <c r="P13" s="903">
        <f t="shared" si="0"/>
        <v>0</v>
      </c>
      <c r="Q13" s="902">
        <f t="shared" si="0"/>
        <v>2329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82</v>
      </c>
      <c r="AC13" s="902">
        <f t="shared" si="1"/>
        <v>2956</v>
      </c>
      <c r="AD13" s="902">
        <f t="shared" si="1"/>
        <v>0</v>
      </c>
      <c r="AE13" s="902">
        <f t="shared" si="1"/>
        <v>0</v>
      </c>
      <c r="AF13" s="902">
        <f t="shared" si="1"/>
        <v>92</v>
      </c>
      <c r="AG13" s="902">
        <f t="shared" si="1"/>
        <v>0</v>
      </c>
      <c r="AH13" s="902">
        <f t="shared" si="1"/>
        <v>181</v>
      </c>
      <c r="AI13" s="902">
        <f t="shared" si="1"/>
        <v>0</v>
      </c>
      <c r="AJ13" s="902">
        <f t="shared" si="1"/>
        <v>0</v>
      </c>
      <c r="AK13" s="902">
        <f t="shared" si="1"/>
        <v>0</v>
      </c>
      <c r="AL13" s="902">
        <f t="shared" si="1"/>
        <v>0</v>
      </c>
      <c r="AM13" s="902">
        <f t="shared" si="1"/>
        <v>8353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1685</v>
      </c>
      <c r="BD13" s="902">
        <f t="shared" si="1"/>
        <v>3940</v>
      </c>
      <c r="BE13" s="902">
        <f t="shared" si="1"/>
        <v>0</v>
      </c>
      <c r="BF13" s="902">
        <f t="shared" si="1"/>
        <v>0</v>
      </c>
      <c r="BG13" s="902">
        <f>IF(ISNUMBER(Datos!K13/Datos!J13),Datos!K13/Datos!J13," - ")</f>
        <v>1.0145154553049289</v>
      </c>
      <c r="BH13" s="906">
        <f>IF(ISNUMBER(((Datos!L13/Datos!K13)*11)/factor_trimestre),((Datos!L13/Datos!K13)*11)/factor_trimestre," - ")</f>
        <v>4.7510036026762741</v>
      </c>
      <c r="BI13" s="902">
        <f>IF(ISNUMBER('Resol  Asuntos'!D13/NºAsuntos!G13),'Resol  Asuntos'!D13/NºAsuntos!G13," - ")</f>
        <v>0.15914242538723083</v>
      </c>
      <c r="BJ13" s="902" t="str">
        <f>IF(ISNUMBER(Datos!CI13/Datos!CJ13),Datos!CI13/Datos!CJ13," - ")</f>
        <v xml:space="preserve"> - </v>
      </c>
      <c r="BK13" s="902">
        <f>SUBTOTAL(9,BK8:BK12)</f>
        <v>0</v>
      </c>
      <c r="BL13" s="902">
        <f>IF(ISNUMBER((I13-AB13+L13)/(F13)),(I13-AB13+L13)/(F13)," - ")</f>
        <v>-1.2238805970149254</v>
      </c>
      <c r="BM13" s="907">
        <f>SUBTOTAL(9,BM9:BM12)</f>
        <v>5.3389130160468437E-2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1670</v>
      </c>
      <c r="G15" s="601">
        <f>IF(ISNUMBER(IF(D_I="SI",Datos!I15,Datos!I15+Datos!AC15)),IF(D_I="SI",Datos!I15,Datos!I15+Datos!AC15)," - ")</f>
        <v>1386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446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8265</v>
      </c>
      <c r="AC15" s="229">
        <f>IF(ISNUMBER(Datos!Q15),Datos!Q15," - ")</f>
        <v>452</v>
      </c>
      <c r="AD15" s="337"/>
      <c r="AE15" s="487"/>
      <c r="AF15" s="599">
        <f>IF(ISNUMBER(IF(D_I="SI",Datos!L15,Datos!L15+Datos!AF15)),IF(D_I="SI",Datos!L15,Datos!L15+Datos!AF15)," - ")</f>
        <v>2012</v>
      </c>
      <c r="AG15" s="337"/>
      <c r="AH15" s="337"/>
      <c r="AI15" s="337"/>
      <c r="AJ15" s="337"/>
      <c r="AK15" s="337"/>
      <c r="AL15" s="482"/>
      <c r="AM15" s="338">
        <f>IF(ISNUMBER(Datos!R15),Datos!R15," - ")</f>
        <v>317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1498</v>
      </c>
      <c r="BD15" s="232">
        <f>IF(ISNUMBER(Datos!N15),Datos!N15," - ")</f>
        <v>4379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0.96026490066225167</v>
      </c>
      <c r="BH15" s="263">
        <f>IF(ISNUMBER(((IF(D_I="SI",Datos!L15/Datos!K15,(Datos!L15+Datos!AF15)/(Datos!K15+Datos!AE15)))*11)/factor_trimestre),((IF(D_I="SI",Datos!L15/Datos!K15,(Datos!L15+Datos!AF15)/(Datos!K15+Datos!AE15)))*11)/factor_trimestre," - ")</f>
        <v>2.6777979431336965</v>
      </c>
      <c r="BI15" s="246">
        <f>IF(ISNUMBER('Resol  Asuntos'!D15/NºAsuntos!G15),'Resol  Asuntos'!D15/NºAsuntos!G15," - ")</f>
        <v>0.18124621899576526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914</v>
      </c>
      <c r="AC17" s="229">
        <f>IF(ISNUMBER(Datos!Q17),Datos!Q17," - ")</f>
        <v>55</v>
      </c>
      <c r="AD17" s="337"/>
      <c r="AE17" s="487"/>
      <c r="AF17" s="335">
        <f>IF(ISNUMBER(Datos!L17),Datos!L17,"-")</f>
        <v>109</v>
      </c>
      <c r="AG17" s="337"/>
      <c r="AH17" s="337"/>
      <c r="AI17" s="337"/>
      <c r="AJ17" s="337"/>
      <c r="AK17" s="337"/>
      <c r="AL17" s="482"/>
      <c r="AM17" s="338">
        <f>IF(ISNUMBER(Datos!R17),Datos!R17," - ")</f>
        <v>24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238</v>
      </c>
      <c r="BD17" s="232">
        <f>IF(ISNUMBER(Datos!N17),Datos!N17," - ")</f>
        <v>677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0.98279569892473118</v>
      </c>
      <c r="BH17" s="263">
        <f>IF(ISNUMBER(((IF(D_I="SI",Datos!L17/Datos!K17,(Datos!L17+Datos!AF17)/(Datos!K17+Datos!AE17)))*11)/factor_trimestre),((IF(D_I="SI",Datos!L17/Datos!K17,(Datos!L17+Datos!AF17)/(Datos!K17+Datos!AE17)))*11)/factor_trimestre," - ")</f>
        <v>1.311816192560175</v>
      </c>
      <c r="BI17" s="246">
        <f>IF(ISNUMBER('Resol  Asuntos'!D17/NºAsuntos!G17),'Resol  Asuntos'!D17/NºAsuntos!G17," - ")</f>
        <v>0.26039387308533918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1670</v>
      </c>
      <c r="G18" s="901">
        <f>SUBTOTAL(9,G15:G17)</f>
        <v>1478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505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9179</v>
      </c>
      <c r="AC18" s="902">
        <f t="shared" si="4"/>
        <v>507</v>
      </c>
      <c r="AD18" s="902">
        <f t="shared" si="4"/>
        <v>0</v>
      </c>
      <c r="AE18" s="902">
        <f t="shared" si="4"/>
        <v>0</v>
      </c>
      <c r="AF18" s="902">
        <f t="shared" si="4"/>
        <v>2121</v>
      </c>
      <c r="AG18" s="902">
        <f t="shared" si="4"/>
        <v>0</v>
      </c>
      <c r="AH18" s="902">
        <f t="shared" si="4"/>
        <v>0</v>
      </c>
      <c r="AI18" s="902">
        <f t="shared" si="4"/>
        <v>0</v>
      </c>
      <c r="AJ18" s="902">
        <f t="shared" si="4"/>
        <v>0</v>
      </c>
      <c r="AK18" s="902">
        <f t="shared" si="4"/>
        <v>0</v>
      </c>
      <c r="AL18" s="902">
        <f t="shared" si="4"/>
        <v>0</v>
      </c>
      <c r="AM18" s="902">
        <f t="shared" si="4"/>
        <v>341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1736</v>
      </c>
      <c r="BD18" s="902">
        <f t="shared" si="4"/>
        <v>5056</v>
      </c>
      <c r="BE18" s="902">
        <f t="shared" si="4"/>
        <v>0</v>
      </c>
      <c r="BF18" s="902">
        <f t="shared" si="4"/>
        <v>0</v>
      </c>
      <c r="BG18" s="902">
        <f>IF(ISNUMBER(Datos!K18/Datos!J18),Datos!K18/Datos!J18," - ")</f>
        <v>0.96246199014365108</v>
      </c>
      <c r="BH18" s="906">
        <f>IF(ISNUMBER(((Datos!L18/Datos!K18)*11)/factor_trimestre),((Datos!L18/Datos!K18)*11)/factor_trimestre," - ")</f>
        <v>2.5417801503431745</v>
      </c>
      <c r="BI18" s="902">
        <f>SUBTOTAL(9,BI15:BI17)</f>
        <v>0.44164009208110444</v>
      </c>
      <c r="BJ18" s="902">
        <f>SUBTOTAL(9,BJ15:BJ17)</f>
        <v>0</v>
      </c>
      <c r="BK18" s="902">
        <f>SUBTOTAL(9,BK15:BK17)</f>
        <v>0</v>
      </c>
      <c r="BL18" s="902">
        <f>IF(ISNUMBER((I18-AB18+L18)/(F18)),(I18-AB18+L18)/(F18)," - ")</f>
        <v>-5.4964071856287422</v>
      </c>
      <c r="BM18" s="908">
        <f>IF(ISNUMBER((Datos!P18-Datos!Q18)/(Datos!R18-Datos!P18+Datos!Q18)),(Datos!P18-Datos!Q18)/(Datos!R18-Datos!P18+Datos!Q18)," - ")</f>
        <v>-5.8309037900874635E-3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1737</v>
      </c>
      <c r="G19" s="823">
        <f t="shared" si="6"/>
        <v>1545</v>
      </c>
      <c r="H19" s="825">
        <f t="shared" si="6"/>
        <v>0</v>
      </c>
      <c r="I19" s="823">
        <f t="shared" si="6"/>
        <v>0</v>
      </c>
      <c r="J19" s="825">
        <f t="shared" si="6"/>
        <v>0</v>
      </c>
      <c r="K19" s="825">
        <f t="shared" si="6"/>
        <v>0</v>
      </c>
      <c r="L19" s="884">
        <f t="shared" si="6"/>
        <v>0</v>
      </c>
      <c r="M19" s="884">
        <f t="shared" si="6"/>
        <v>0</v>
      </c>
      <c r="N19" s="884">
        <f t="shared" si="6"/>
        <v>779</v>
      </c>
      <c r="O19" s="884">
        <f t="shared" si="6"/>
        <v>0</v>
      </c>
      <c r="P19" s="884">
        <f t="shared" si="6"/>
        <v>0</v>
      </c>
      <c r="Q19" s="825">
        <f t="shared" si="6"/>
        <v>2834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9261</v>
      </c>
      <c r="AC19" s="824">
        <f t="shared" si="7"/>
        <v>3463</v>
      </c>
      <c r="AD19" s="824">
        <f t="shared" si="7"/>
        <v>0</v>
      </c>
      <c r="AE19" s="824">
        <f t="shared" si="7"/>
        <v>0</v>
      </c>
      <c r="AF19" s="831">
        <f t="shared" si="7"/>
        <v>2213</v>
      </c>
      <c r="AG19" s="831">
        <f t="shared" si="7"/>
        <v>0</v>
      </c>
      <c r="AH19" s="831">
        <f t="shared" si="7"/>
        <v>181</v>
      </c>
      <c r="AI19" s="831">
        <f t="shared" si="7"/>
        <v>0</v>
      </c>
      <c r="AJ19" s="824">
        <f t="shared" si="7"/>
        <v>0</v>
      </c>
      <c r="AK19" s="831">
        <f t="shared" si="7"/>
        <v>0</v>
      </c>
      <c r="AL19" s="831">
        <f t="shared" si="7"/>
        <v>0</v>
      </c>
      <c r="AM19" s="831">
        <f t="shared" si="7"/>
        <v>8694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3421</v>
      </c>
      <c r="BD19" s="823">
        <f t="shared" si="7"/>
        <v>8996</v>
      </c>
      <c r="BE19" s="823">
        <f t="shared" si="7"/>
        <v>0</v>
      </c>
      <c r="BF19" s="833">
        <f t="shared" si="7"/>
        <v>0</v>
      </c>
      <c r="BG19" s="918">
        <f>IF(ISNUMBER(Datos!K19/Datos!J19),Datos!K19/Datos!J19," - ")</f>
        <v>0.9885418301679485</v>
      </c>
      <c r="BH19" s="918">
        <f>IF(ISNUMBER(((Datos!L19/Datos!K19)*11)/factor_trimestre),((Datos!L19/Datos!K19)*11)/factor_trimestre," - ")</f>
        <v>3.6777283793796971</v>
      </c>
      <c r="BI19" s="816">
        <f>IF(ISNUMBER(Datos!J19/Datos!I19),Datos!J19/Datos!I19," - ")</f>
        <v>3.2312764158918004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-5.3316062176165806</v>
      </c>
      <c r="BM19" s="892">
        <f>IF(ISNUMBER((Datos!P19-Datos!Q19+R19)/(Datos!R19-Datos!P19+Datos!Q19-R19)),(Datos!P19-Datos!Q19+R19)/(Datos!R19-Datos!P19+Datos!Q19-R19)," - ")</f>
        <v>-6.7467553362651506E-2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618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2.6977356760397742</v>
      </c>
      <c r="F21" s="554">
        <f>IF(ISNUMBER(STDEV(F8:F18)),STDEV(F8:F18),"-")</f>
        <v>925.49248151097015</v>
      </c>
      <c r="G21" s="555">
        <f>IF(ISNUMBER(STDEV(G8:G18)),STDEV(G8:G18),"-")</f>
        <v>743.85852149451102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4604.3515612950323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835.31428359687015</v>
      </c>
      <c r="BD21" s="554"/>
      <c r="BE21" s="554">
        <f>IF(ISNUMBER(STDEV(BE8:BE18)),STDEV(BE8:BE18),"-")</f>
        <v>0</v>
      </c>
      <c r="BF21" s="559">
        <f>IF(ISNUMBER(STDEV(BF8:BF18)),STDEV(BF8:BF18),"-")</f>
        <v>0</v>
      </c>
      <c r="BG21" s="778">
        <f>IF(ISNUMBER(STDEV(BG8:BG18)),STDEV(BG8:BG18),"-")</f>
        <v>9.4698141337169528E-2</v>
      </c>
      <c r="BH21" s="779">
        <f>IF(ISNUMBER(STDEV(BH8:BH18)),STDEV(BH8:BH18),"-")</f>
        <v>4.0307216741871059</v>
      </c>
      <c r="BI21" s="252">
        <f>IF(ISNUMBER(STDEV(BI8:BI18)),STDEV(BI8:BI18),"-")</f>
        <v>0.12827862813321059</v>
      </c>
      <c r="BJ21" s="233" t="str">
        <f>IF(ISNUMBER(BL21/BM21),BL21/BM21," - ")</f>
        <v xml:space="preserve"> - </v>
      </c>
      <c r="BK21" s="578"/>
      <c r="BL21" s="562">
        <f>IF(ISNUMBER(STDEV(BL8:BL18)),STDEV(BL8:BL18),"-")</f>
        <v>3.0211325236086557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femiSHzKcojpcvJu1DUasIC2D+mQ9GwxnvoUfykZDjRenjlXrNa9C59eZtEk90MsWeK+nVP9pE/gIbPtBbUwg==" saltValue="4omz6bE4boqeCtIumRQJ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GANDIA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2295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2925</v>
      </c>
      <c r="AA9" s="335" t="str">
        <f>IF(ISNUMBER(IF(J_V="SI",Datos!L9,Datos!L9+Datos!AB9)-IF(Monitorios="SI",Datos!CD9,0)),
                          IF(J_V="SI",Datos!L9,Datos!L9+Datos!AB9)-IF(Monitorios="SI",Datos!CD9,0),
                          " - ")</f>
        <v xml:space="preserve"> - </v>
      </c>
      <c r="AB9" s="337"/>
      <c r="AC9" s="337"/>
      <c r="AD9" s="487"/>
      <c r="AE9" s="487">
        <f>IF(ISNUMBER(Datos!R9),Datos!R9," - ")</f>
        <v>8006</v>
      </c>
      <c r="AF9" s="232" t="str">
        <f>IF(ISNUMBER(Datos!BV9),Datos!BV9," - ")</f>
        <v xml:space="preserve"> - </v>
      </c>
      <c r="AG9" s="228" t="str">
        <f>IF(ISNUMBER(Datos!DV9),Datos!DV9," - ")</f>
        <v xml:space="preserve"> - </v>
      </c>
      <c r="AH9" s="301"/>
      <c r="AI9" s="230"/>
      <c r="AJ9" s="228">
        <f>IF(ISNUMBER(Datos!M9),Datos!M9," - ")</f>
        <v>1649</v>
      </c>
      <c r="AK9" s="232">
        <f>IF(ISNUMBER(Datos!N9),Datos!N9," - ")</f>
        <v>3899</v>
      </c>
      <c r="AL9" s="232" t="str">
        <f>IF(ISNUMBER(Datos!BW9),Datos!BW9," - ")</f>
        <v xml:space="preserve"> - </v>
      </c>
      <c r="AM9" s="231" t="str">
        <f>IF(ISNUMBER(Datos!BX9),Datos!BX9," - ")</f>
        <v xml:space="preserve"> - </v>
      </c>
      <c r="AN9" s="246"/>
      <c r="AO9" s="263">
        <f>IF(ISNUMBER(((NºAsuntos!I9/NºAsuntos!G9)*11)/factor_trimestre),((NºAsuntos!I9/NºAsuntos!G9)*11)/factor_trimestre," - ")</f>
        <v>4.4869109947643979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-7.2950440018527102E-2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82</v>
      </c>
      <c r="Z10" s="622">
        <f>IF(ISNUMBER(Datos!Q10),Datos!Q10," - ")</f>
        <v>25</v>
      </c>
      <c r="AA10" s="335">
        <f>IF(ISNUMBER(Datos!L10),Datos!L10,"-")</f>
        <v>92</v>
      </c>
      <c r="AB10" s="337"/>
      <c r="AC10" s="337"/>
      <c r="AD10" s="487"/>
      <c r="AE10" s="487">
        <f>IF(ISNUMBER(Datos!R10),Datos!R10," - ")</f>
        <v>70</v>
      </c>
      <c r="AF10" s="232" t="str">
        <f>IF(ISNUMBER(Datos!BV10),Datos!BV10," - ")</f>
        <v xml:space="preserve"> - </v>
      </c>
      <c r="AG10" s="228" t="str">
        <f>IF(ISNUMBER(Datos!DV10),Datos!DV10," - ")</f>
        <v xml:space="preserve"> - </v>
      </c>
      <c r="AH10" s="301"/>
      <c r="AI10" s="230"/>
      <c r="AJ10" s="228">
        <f>IF(ISNUMBER(Datos!M10),Datos!M10," - ")</f>
        <v>36</v>
      </c>
      <c r="AK10" s="232">
        <f>IF(ISNUMBER(Datos!N10),Datos!N10," - ")</f>
        <v>37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12.341463414634148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0.14754098360655737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v>
      </c>
      <c r="AA12" s="335" t="str">
        <f>IF(ISNUMBER(IF(J_V="SI",Datos!L12,Datos!L12+Datos!AB12)-IF(Monitorios="SI",Datos!CD12,0)),
                          IF(J_V="SI",Datos!L12,Datos!L12+Datos!AB12)-IF(Monitorios="SI",Datos!CD12,0),
                          " - ")</f>
        <v xml:space="preserve"> - </v>
      </c>
      <c r="AB12" s="337"/>
      <c r="AC12" s="337"/>
      <c r="AD12" s="487"/>
      <c r="AE12" s="487">
        <f>IF(ISNUMBER(Datos!R12),Datos!R12," - ")</f>
        <v>277</v>
      </c>
      <c r="AF12" s="232" t="str">
        <f>IF(ISNUMBER(Datos!BV12),Datos!BV12," - ")</f>
        <v xml:space="preserve"> - </v>
      </c>
      <c r="AG12" s="228" t="str">
        <f>IF(ISNUMBER(Datos!DV12),Datos!DV12," - ")</f>
        <v xml:space="preserve"> - </v>
      </c>
      <c r="AH12" s="301"/>
      <c r="AI12" s="230"/>
      <c r="AJ12" s="228">
        <f>IF(ISNUMBER(Datos!M12),Datos!M12," - ")</f>
        <v>0</v>
      </c>
      <c r="AK12" s="232">
        <f>IF(ISNUMBER(Datos!N12),Datos!N12," - ")</f>
        <v>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0</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-2.1201413427561839E-2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2329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82</v>
      </c>
      <c r="Z13" s="910">
        <f t="shared" si="2"/>
        <v>2956</v>
      </c>
      <c r="AA13" s="903">
        <f t="shared" si="2"/>
        <v>92</v>
      </c>
      <c r="AB13" s="903">
        <f t="shared" si="2"/>
        <v>0</v>
      </c>
      <c r="AC13" s="903">
        <f t="shared" si="2"/>
        <v>0</v>
      </c>
      <c r="AD13" s="903">
        <f t="shared" si="2"/>
        <v>0</v>
      </c>
      <c r="AE13" s="903">
        <f t="shared" si="2"/>
        <v>8353</v>
      </c>
      <c r="AF13" s="911">
        <f t="shared" si="2"/>
        <v>0</v>
      </c>
      <c r="AG13" s="911">
        <f t="shared" si="2"/>
        <v>0</v>
      </c>
      <c r="AH13" s="911">
        <f t="shared" si="2"/>
        <v>0</v>
      </c>
      <c r="AI13" s="911">
        <f t="shared" si="2"/>
        <v>0</v>
      </c>
      <c r="AJ13" s="911">
        <f t="shared" si="2"/>
        <v>1685</v>
      </c>
      <c r="AK13" s="911">
        <f t="shared" si="2"/>
        <v>3940</v>
      </c>
      <c r="AL13" s="911">
        <f t="shared" si="2"/>
        <v>0</v>
      </c>
      <c r="AM13" s="911">
        <f t="shared" si="2"/>
        <v>0</v>
      </c>
      <c r="AN13" s="911">
        <f t="shared" si="2"/>
        <v>0</v>
      </c>
      <c r="AO13" s="907">
        <f>IF(ISNUMBER(((NºAsuntos!I13/NºAsuntos!G13)*11)/factor_trimestre),((NºAsuntos!I13/NºAsuntos!G13)*11)/factor_trimestre," - ")</f>
        <v>4.5473177181715148</v>
      </c>
      <c r="AP13" s="913" t="str">
        <f>IF(ISNUMBER(Datos!CI13/Datos!CJ13),Datos!CI13/Datos!CJ13," - ")</f>
        <v xml:space="preserve"> - </v>
      </c>
      <c r="AQ13" s="931">
        <f t="shared" ref="AQ13:AV13" si="3">SUBTOTAL(9,AQ9:AQ12)</f>
        <v>0</v>
      </c>
      <c r="AR13" s="931">
        <f t="shared" si="3"/>
        <v>5.3389130160468437E-2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1670</v>
      </c>
      <c r="G15" s="228">
        <f>IF(ISNUMBER(IF(D_I="SI",Datos!I15,Datos!I15+Datos!AC15)),IF(D_I="SI",Datos!I15,Datos!I15+Datos!AC15)," - ")</f>
        <v>1386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446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8265</v>
      </c>
      <c r="Z15" s="622">
        <f>IF(ISNUMBER(Datos!Q15),Datos!Q15," - ")</f>
        <v>452</v>
      </c>
      <c r="AA15" s="335">
        <f>IF(ISNUMBER(IF(D_I="SI",Datos!L15,Datos!L15+Datos!AF15)),IF(D_I="SI",Datos!L15,Datos!L15+Datos!AF15)," - ")</f>
        <v>2012</v>
      </c>
      <c r="AB15" s="337"/>
      <c r="AC15" s="337"/>
      <c r="AD15" s="487"/>
      <c r="AE15" s="487">
        <f>IF(ISNUMBER(Datos!R15),Datos!R15," - ")</f>
        <v>317</v>
      </c>
      <c r="AF15" s="232" t="str">
        <f>IF(ISNUMBER(Datos!BV15),Datos!BV15," - ")</f>
        <v xml:space="preserve"> - </v>
      </c>
      <c r="AG15" s="228"/>
      <c r="AH15" s="301"/>
      <c r="AI15" s="230"/>
      <c r="AJ15" s="228">
        <f>IF(ISNUMBER(Datos!M15),Datos!M15," - ")</f>
        <v>1498</v>
      </c>
      <c r="AK15" s="232">
        <f>IF(ISNUMBER(Datos!N15),Datos!N15," - ")</f>
        <v>4379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2.6777979431336965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914</v>
      </c>
      <c r="Z17" s="622">
        <f>IF(ISNUMBER(Datos!Q17),Datos!Q17," - ")</f>
        <v>55</v>
      </c>
      <c r="AA17" s="335">
        <f>IF(ISNUMBER(Datos!L17),Datos!L17,"-")</f>
        <v>109</v>
      </c>
      <c r="AB17" s="337"/>
      <c r="AC17" s="337"/>
      <c r="AD17" s="487"/>
      <c r="AE17" s="487">
        <f>IF(ISNUMBER(Datos!R17),Datos!R17," - ")</f>
        <v>24</v>
      </c>
      <c r="AF17" s="232" t="str">
        <f>IF(ISNUMBER(Datos!BV17),Datos!BV17," - ")</f>
        <v xml:space="preserve"> - </v>
      </c>
      <c r="AG17" s="228" t="str">
        <f>IF(ISNUMBER(Datos!DV17),Datos!DV17," - ")</f>
        <v xml:space="preserve"> - </v>
      </c>
      <c r="AH17" s="301"/>
      <c r="AI17" s="230"/>
      <c r="AJ17" s="228">
        <f>IF(ISNUMBER(Datos!M17),Datos!M17," - ")</f>
        <v>238</v>
      </c>
      <c r="AK17" s="232">
        <f>IF(ISNUMBER(Datos!N17),Datos!N17," - ")</f>
        <v>677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1.311816192560175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1670</v>
      </c>
      <c r="G18" s="901">
        <f>SUBTOTAL(9,G15:G17)</f>
        <v>1478</v>
      </c>
      <c r="H18" s="935">
        <f>SUBTOTAL(9,H15:H17)</f>
        <v>0</v>
      </c>
      <c r="I18" s="914">
        <f>SUBTOTAL(9,I15:I17)</f>
        <v>0</v>
      </c>
      <c r="J18" s="870">
        <f>SUBTOTAL(9,J14:J17)</f>
        <v>0</v>
      </c>
      <c r="K18" s="935">
        <f t="shared" ref="K18:S18" si="4">SUBTOTAL(9,K15:K17)</f>
        <v>0</v>
      </c>
      <c r="L18" s="935">
        <f t="shared" si="4"/>
        <v>0</v>
      </c>
      <c r="M18" s="935">
        <f t="shared" si="4"/>
        <v>0</v>
      </c>
      <c r="N18" s="935">
        <f t="shared" si="4"/>
        <v>505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9179</v>
      </c>
      <c r="Z18" s="935">
        <f t="shared" si="5"/>
        <v>507</v>
      </c>
      <c r="AA18" s="935">
        <f t="shared" si="5"/>
        <v>2121</v>
      </c>
      <c r="AB18" s="935">
        <f t="shared" si="5"/>
        <v>0</v>
      </c>
      <c r="AC18" s="935">
        <f t="shared" si="5"/>
        <v>0</v>
      </c>
      <c r="AD18" s="935">
        <f t="shared" si="5"/>
        <v>0</v>
      </c>
      <c r="AE18" s="935">
        <f t="shared" si="5"/>
        <v>341</v>
      </c>
      <c r="AF18" s="935">
        <f t="shared" si="5"/>
        <v>0</v>
      </c>
      <c r="AG18" s="935">
        <f t="shared" si="5"/>
        <v>0</v>
      </c>
      <c r="AH18" s="935">
        <f t="shared" si="5"/>
        <v>0</v>
      </c>
      <c r="AI18" s="935">
        <f t="shared" si="5"/>
        <v>0</v>
      </c>
      <c r="AJ18" s="935">
        <f t="shared" si="5"/>
        <v>1736</v>
      </c>
      <c r="AK18" s="935">
        <f t="shared" si="5"/>
        <v>5056</v>
      </c>
      <c r="AL18" s="935">
        <f t="shared" si="5"/>
        <v>0</v>
      </c>
      <c r="AM18" s="935">
        <f t="shared" si="5"/>
        <v>0</v>
      </c>
      <c r="AN18" s="935">
        <f t="shared" si="5"/>
        <v>0</v>
      </c>
      <c r="AO18" s="937">
        <f>IF(ISNUMBER(((NºAsuntos!I18/NºAsuntos!G18)*11)/factor_trimestre),((NºAsuntos!I18/NºAsuntos!G18)*11)/factor_trimestre," - ")</f>
        <v>2.5417801503431745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1737</v>
      </c>
      <c r="G19" s="823">
        <f t="shared" si="7"/>
        <v>1545</v>
      </c>
      <c r="H19" s="824">
        <f t="shared" si="7"/>
        <v>0</v>
      </c>
      <c r="I19" s="823">
        <f t="shared" si="7"/>
        <v>0</v>
      </c>
      <c r="J19" s="825">
        <f t="shared" si="7"/>
        <v>0</v>
      </c>
      <c r="K19" s="823">
        <f t="shared" si="7"/>
        <v>0</v>
      </c>
      <c r="L19" s="826">
        <f t="shared" si="7"/>
        <v>0</v>
      </c>
      <c r="M19" s="823">
        <f t="shared" si="7"/>
        <v>0</v>
      </c>
      <c r="N19" s="824">
        <f t="shared" si="7"/>
        <v>2834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9261</v>
      </c>
      <c r="Z19" s="830">
        <f t="shared" si="8"/>
        <v>3463</v>
      </c>
      <c r="AA19" s="831">
        <f t="shared" si="8"/>
        <v>2213</v>
      </c>
      <c r="AB19" s="831">
        <f t="shared" si="8"/>
        <v>0</v>
      </c>
      <c r="AC19" s="831">
        <f t="shared" si="8"/>
        <v>0</v>
      </c>
      <c r="AD19" s="832">
        <f t="shared" si="8"/>
        <v>0</v>
      </c>
      <c r="AE19" s="832">
        <f t="shared" si="8"/>
        <v>8694</v>
      </c>
      <c r="AF19" s="833">
        <f t="shared" si="8"/>
        <v>0</v>
      </c>
      <c r="AG19" s="834">
        <f t="shared" si="8"/>
        <v>0</v>
      </c>
      <c r="AH19" s="835">
        <f t="shared" si="8"/>
        <v>0</v>
      </c>
      <c r="AI19" s="833">
        <f t="shared" si="8"/>
        <v>0</v>
      </c>
      <c r="AJ19" s="823">
        <f t="shared" si="8"/>
        <v>3421</v>
      </c>
      <c r="AK19" s="823">
        <f t="shared" si="8"/>
        <v>8996</v>
      </c>
      <c r="AL19" s="823">
        <f t="shared" si="8"/>
        <v>0</v>
      </c>
      <c r="AM19" s="836">
        <f t="shared" si="8"/>
        <v>0</v>
      </c>
      <c r="AN19" s="826">
        <f>IF(ISNUMBER(Datos!K19/Datos!J19),Datos!K19/Datos!J19," - ")</f>
        <v>0.9885418301679485</v>
      </c>
      <c r="AO19" s="826">
        <f>IF(ISNUMBER(FIND("06",Criterios!A8,1)),(IF(ISNUMBER(((Datos!R19/Datos!Q19)*11)/factor_trimestre),((Datos!R19/Datos!Q19)*11)/factor_trimestre," - ")),(IF(ISNUMBER(((Datos!L19/Datos!K19)*11)/factor_trimestre),((Datos!L19/Datos!K19)*11)/factor_trimestre," - ")))</f>
        <v>3.6777283793796971</v>
      </c>
      <c r="AP19" s="837" t="str">
        <f>IF(ISNUMBER(Datos!CI19/Datos!CJ19),Datos!CI19/Datos!CJ19," - ")</f>
        <v xml:space="preserve"> - </v>
      </c>
      <c r="AQ19" s="837">
        <f>IF(OR(ISNUMBER(FIND("01",Criterios!A8,1)),ISNUMBER(FIND("02",Criterios!A8,1)),ISNUMBER(FIND("03",Criterios!A8,1)),ISNUMBER(FIND("04",Criterios!A8,1))),(J19-Y19+K19)/(F19-K19),(I19-Y19+K19)/(F19-K19))</f>
        <v>-5.3316062176165806</v>
      </c>
      <c r="AR19" s="837">
        <f>IF(ISNUMBER((Datos!P19-Datos!Q19+O19)/(Datos!R19-Datos!P19+Datos!Q19-O19)),(Datos!P19-Datos!Q19+O19)/(Datos!R19-Datos!P19+Datos!Q19-O19)," - ")</f>
        <v>-6.7467553362651506E-2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618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925.49248151097015</v>
      </c>
      <c r="G21" s="555">
        <f>IF(ISNUMBER(STDEV(G8:G18)),STDEV(G8:G18),"-")</f>
        <v>743.85852149451102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835.31428359687015</v>
      </c>
      <c r="AK21" s="255"/>
      <c r="AL21" s="255">
        <f>IF(ISNUMBER(STDEV(AL8:AL18)),STDEV(AL8:AL18),"-")</f>
        <v>0</v>
      </c>
      <c r="AM21" s="257">
        <f>IF(ISNUMBER(STDEV(AM8:AM18)),STDEV(AM8:AM18),"-")</f>
        <v>0</v>
      </c>
      <c r="AN21" s="542">
        <f>IF(ISNUMBER(STDEV(AN8:AN18)),STDEV(AN8:AN18),"-")</f>
        <v>0</v>
      </c>
      <c r="AO21" s="543">
        <f>IF(ISNUMBER(STDEV(AO8:AO18)),STDEV(AO8:AO18),"-")</f>
        <v>4.0252613417114693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tGvKCKyNBtGm3gk+P8KMjh4RwVPBIJsWCEGwAAsKU9c6JReHX5sGeZvlo4kJWpksKlO8/veC6GtOjZoxXob0A==" saltValue="gtJLsKjl7L6KZTW/gr9q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kjcIUcNm8/JVDjESZMsZvRyZvE2B7lfaN3B1kCBdWPhjRP3Qe7C9f1WYqzKcBqCAnjCgPjANoMfNBZF5yU+nQ==" saltValue="i2qqD16RrDmy4o2/uYid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jUyHJxQDM52Lkcy8xn2ncMUxriQVvXDJGF8dYs/gspESjTZVmTlH6L0Kyufaqz7iTUwEj/Ccg769+Ck8Xsl4w==" saltValue="GEBcbuumQPOqDIJXv6nf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GANDIA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0.15914242538723083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0.1125306881657851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vqgNSw9SuODqiPVny+qyWaFZhuS9Nl6kZnYB0sqlvdfZq/C/F54eFWtlexo7FG9/9lpEVrmwtALXw5/Ce7QiA==" saltValue="E9p//j98ID4sDBXB1epL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puvikQvUKVZTY2Zf0pers5pe2hL1t9/vtOZGhHyPhuKbcM3aEyvSsep8tzbwYj4rLGliMAG9RCli5NC6qa19A==" saltValue="k+2+mdHVGKsLOyrhoq0x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GANDIA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4605</v>
      </c>
      <c r="D9" s="407">
        <f>IF(ISNUMBER(C9/Datos!BH9),C9/Datos!BH9," - ")</f>
        <v>767.5</v>
      </c>
      <c r="E9" s="406">
        <f>IF(ISNUMBER(IF(J_V="SI",Datos!J9,Datos!J9+Datos!Z9)),IF(J_V="SI",Datos!J9,Datos!J9+Datos!Z9)," - ")</f>
        <v>10248</v>
      </c>
      <c r="F9" s="407">
        <f>IF(ISNUMBER(E9/B9),E9/B9," - ")</f>
        <v>1708</v>
      </c>
      <c r="G9" s="406">
        <f>IF(ISNUMBER(IF(J_V="SI",Datos!K9,Datos!K9+Datos!AA9)),IF(J_V="SI",Datos!K9,Datos!K9+Datos!AA9)," - ")</f>
        <v>10505</v>
      </c>
      <c r="H9" s="407">
        <f>IF(ISNUMBER(G9/B9),G9/B9," - ")</f>
        <v>1750.8333333333333</v>
      </c>
      <c r="I9" s="406">
        <f>IF(ISNUMBER(IF(J_V="SI",Datos!L9,Datos!L9+Datos!AB9)),IF(J_V="SI",Datos!L9,Datos!L9+Datos!AB9)," - ")</f>
        <v>4285</v>
      </c>
      <c r="J9" s="407">
        <f>IF(ISNUMBER(I9/B9),I9/B9," - ")</f>
        <v>714.16666666666663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67</v>
      </c>
      <c r="D10" s="407">
        <f>IF(ISNUMBER(C10/Datos!BH10),C10/Datos!BH10," - ")</f>
        <v>67</v>
      </c>
      <c r="E10" s="406">
        <f>IF(ISNUMBER(Datos!J10),Datos!J10," - ")</f>
        <v>107</v>
      </c>
      <c r="F10" s="407">
        <f>IF(ISNUMBER(E10/B10),E10/B10," - ")</f>
        <v>107</v>
      </c>
      <c r="G10" s="406">
        <f>IF(ISNUMBER(Datos!K10),Datos!K10," - ")</f>
        <v>82</v>
      </c>
      <c r="H10" s="407">
        <f>IF(ISNUMBER(G10/B10),G10/B10," - ")</f>
        <v>82</v>
      </c>
      <c r="I10" s="406">
        <f>IF(ISNUMBER(Datos!L10),Datos!L10," - ")</f>
        <v>92</v>
      </c>
      <c r="J10" s="407">
        <f>IF(ISNUMBER(I10/B10),I10/B10," - ")</f>
        <v>92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1</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4673</v>
      </c>
      <c r="D13" s="853" t="str">
        <f>IF(ISNUMBER(C13/Datos!BI13),C13/Datos!BI13," - ")</f>
        <v xml:space="preserve"> - </v>
      </c>
      <c r="E13" s="852">
        <f>SUBTOTAL(9,E8:E12)</f>
        <v>10355</v>
      </c>
      <c r="F13" s="853">
        <f>IF(ISNUMBER(E13/B13),E13/B13," - ")</f>
        <v>1479.2857142857142</v>
      </c>
      <c r="G13" s="852">
        <f>SUBTOTAL(9,G8:G12)</f>
        <v>10588</v>
      </c>
      <c r="H13" s="853">
        <f>IF(ISNUMBER(G13/B13),G13/B13," - ")</f>
        <v>1512.5714285714287</v>
      </c>
      <c r="I13" s="852">
        <f>SUBTOTAL(9,I8:I12)</f>
        <v>4377</v>
      </c>
      <c r="J13" s="853">
        <f>IF(ISNUMBER(I13/B13),I13/B13," - ")</f>
        <v>625.28571428571433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1386</v>
      </c>
      <c r="D15" s="407">
        <f>IF(ISNUMBER(C15/Datos!BH15),C15/Datos!BH15," - ")</f>
        <v>462</v>
      </c>
      <c r="E15" s="406">
        <f>IF(ISNUMBER(IF(D_I="SI",Datos!J15,Datos!J15+Datos!AD15)),IF(D_I="SI",Datos!J15,Datos!J15+Datos!AD15)," - ")</f>
        <v>8607</v>
      </c>
      <c r="F15" s="407">
        <f>IF(ISNUMBER(E15/B15),E15/B15," - ")</f>
        <v>2869</v>
      </c>
      <c r="G15" s="406">
        <f>IF(ISNUMBER(IF(D_I="SI",Datos!K15,Datos!K15+Datos!AE15)),IF(D_I="SI",Datos!K15,Datos!K15+Datos!AE15)," - ")</f>
        <v>8265</v>
      </c>
      <c r="H15" s="407">
        <f>IF(ISNUMBER(G15/B15),G15/B15," - ")</f>
        <v>2755</v>
      </c>
      <c r="I15" s="406">
        <f>IF(ISNUMBER(IF(D_I="SI",Datos!L15,Datos!L15+Datos!AF15)),IF(D_I="SI",Datos!L15,Datos!L15+Datos!AF15)," - ")</f>
        <v>2012</v>
      </c>
      <c r="J15" s="407">
        <f>IF(ISNUMBER(I15/B15),I15/B15," - ")</f>
        <v>670.66666666666663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92</v>
      </c>
      <c r="D17" s="407">
        <f>IF(ISNUMBER(C17/Datos!BH17),C17/Datos!BH17," - ")</f>
        <v>92</v>
      </c>
      <c r="E17" s="406">
        <f>IF(ISNUMBER(IF(D_I="SI",Datos!J17,Datos!J17+Datos!AD17)),IF(D_I="SI",Datos!J17,Datos!J17+Datos!AD17)," - ")</f>
        <v>930</v>
      </c>
      <c r="F17" s="407">
        <f>IF(ISNUMBER(E17/B17),E17/B17," - ")</f>
        <v>930</v>
      </c>
      <c r="G17" s="406">
        <f>IF(ISNUMBER(IF(D_I="SI",Datos!K17,Datos!K17+Datos!AE17)),IF(D_I="SI",Datos!K17,Datos!K17+Datos!AE17)," - ")</f>
        <v>914</v>
      </c>
      <c r="H17" s="407">
        <f>IF(ISNUMBER(G17/B17),G17/B17," - ")</f>
        <v>914</v>
      </c>
      <c r="I17" s="406">
        <f>IF(ISNUMBER(IF(D_I="SI",Datos!L17,Datos!L17+Datos!AF17)),IF(D_I="SI",Datos!L17,Datos!L17+Datos!AF17)," - ")</f>
        <v>109</v>
      </c>
      <c r="J17" s="407">
        <f>IF(ISNUMBER(I17/B17),I17/B17," - ")</f>
        <v>109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1478</v>
      </c>
      <c r="D18" s="853" t="str">
        <f>IF(ISNUMBER(C18/Datos!BI18),C18/Datos!BI18," - ")</f>
        <v xml:space="preserve"> - </v>
      </c>
      <c r="E18" s="852">
        <f>SUBTOTAL(9,E14:E17)</f>
        <v>9537</v>
      </c>
      <c r="F18" s="853">
        <f>IF(ISNUMBER(E18/B18),E18/B18," - ")</f>
        <v>2384.25</v>
      </c>
      <c r="G18" s="852">
        <f>SUBTOTAL(9,G14:G17)</f>
        <v>9179</v>
      </c>
      <c r="H18" s="853">
        <f>IF(ISNUMBER(G18/B18),G18/B18," - ")</f>
        <v>2294.75</v>
      </c>
      <c r="I18" s="852">
        <f>SUBTOTAL(9,I14:I17)</f>
        <v>2121</v>
      </c>
      <c r="J18" s="853">
        <f>IF(ISNUMBER(I18/B18),I18/B18," - ")</f>
        <v>530.25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6151</v>
      </c>
      <c r="D19" s="798" t="str">
        <f>IF(ISNUMBER(C19/Datos!BI19),C19/Datos!BI19," - ")</f>
        <v xml:space="preserve"> - </v>
      </c>
      <c r="E19" s="797">
        <f>SUBTOTAL(9,E9:E18)</f>
        <v>19892</v>
      </c>
      <c r="F19" s="798">
        <f>IF(ISNUMBER(E19/B19),E19/B19," - ")</f>
        <v>1989.2</v>
      </c>
      <c r="G19" s="797">
        <f>SUBTOTAL(9,G9:G18)</f>
        <v>19767</v>
      </c>
      <c r="H19" s="798">
        <f>IF(ISNUMBER(G19/B19),G19/B19," - ")</f>
        <v>1976.7</v>
      </c>
      <c r="I19" s="797">
        <f>SUBTOTAL(9,I9:I18)</f>
        <v>6498</v>
      </c>
      <c r="J19" s="798">
        <f>IF(ISNUMBER(I19/B19),I19/B19," - ")</f>
        <v>649.79999999999995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jmjEQq8Sxw0xIzQzgllOPTMGI2zaGdbSg9aQFB+xGiypgfqcTgSWcZ1k5enx1XAfKYuD79MeAR7uE9B8xszSA==" saltValue="Ci6RN5Vw7jsTSX5RK1Qe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GANDIA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82</v>
      </c>
      <c r="AC10" s="686" t="str">
        <f>IF(ISNUMBER(IF(D_I="SI",DatosP!K17,DatosP!K17+DatosP!AE17)),IF(D_I="SI",DatosP!K17,DatosP!K17+DatosP!AE17)," - ")</f>
        <v xml:space="preserve"> - </v>
      </c>
      <c r="AD10" s="688"/>
      <c r="AE10" s="688"/>
      <c r="AF10" s="691">
        <f>IF(ISNUMBER(Datos!L10),Datos!L10,"-")</f>
        <v>92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36</v>
      </c>
      <c r="AM10" s="693">
        <f>IF(ISNUMBER(Datos!N10+DatosP!N17),Datos!N10+DatosP!N17," - ")</f>
        <v>37</v>
      </c>
      <c r="AN10" s="693">
        <f>IF(ISNUMBER(Datos!BW10+DatosP!BW17),Datos!BW10+DatosP!BW17," - ")</f>
        <v>0</v>
      </c>
      <c r="AO10" s="694">
        <f>IF(ISNUMBER(Datos!BX10+DatosP!BX17),Datos!BX10+DatosP!BX17," - ")</f>
        <v>0</v>
      </c>
      <c r="AP10" s="696">
        <f>IF(ISNUMBER(((Datos!L10/Datos!K10)*11)/factor_trimestre),((Datos!L10/Datos!K10)*11)/factor_trimestre," - ")</f>
        <v>12.341463414634148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0</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-2.1201413427561839E-2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82</v>
      </c>
      <c r="AC13" s="942">
        <f t="shared" si="1"/>
        <v>0</v>
      </c>
      <c r="AD13" s="942">
        <f t="shared" si="1"/>
        <v>6</v>
      </c>
      <c r="AE13" s="942">
        <f t="shared" si="1"/>
        <v>0</v>
      </c>
      <c r="AF13" s="942">
        <f t="shared" si="1"/>
        <v>92</v>
      </c>
      <c r="AG13" s="942">
        <f t="shared" si="1"/>
        <v>0</v>
      </c>
      <c r="AH13" s="942">
        <f t="shared" si="1"/>
        <v>277</v>
      </c>
      <c r="AI13" s="942">
        <f t="shared" si="1"/>
        <v>0</v>
      </c>
      <c r="AJ13" s="942">
        <f t="shared" si="1"/>
        <v>0</v>
      </c>
      <c r="AK13" s="942">
        <f t="shared" si="1"/>
        <v>0</v>
      </c>
      <c r="AL13" s="942">
        <f t="shared" si="1"/>
        <v>36</v>
      </c>
      <c r="AM13" s="942">
        <f t="shared" si="1"/>
        <v>41</v>
      </c>
      <c r="AN13" s="942">
        <f t="shared" si="1"/>
        <v>0</v>
      </c>
      <c r="AO13" s="942">
        <f t="shared" si="1"/>
        <v>0</v>
      </c>
      <c r="AP13" s="947">
        <f>IF(ISNUMBER(((Datos!L13/Datos!K13)*11)/factor_trimestre),((Datos!L13/Datos!K13)*11)/factor_trimestre," - ")</f>
        <v>4.7510036026762741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-1.2238805970149254</v>
      </c>
      <c r="AU13" s="942" t="str">
        <f>IF(ISNUMBER((DatosP!#REF!-DatosP!#REF!+DatosP!#REF!)/(DatosP!#REF!+DatosP!#REF!-DatosP!#REF!-DatosP!#REF!)),(DatosP!#REF!-DatosP!#REF!+DatosP!#REF!)/(DatosP!#REF!+DatosP!#REF!-DatosP!#REF!-DatosP!#REF!)," - ")</f>
        <v xml:space="preserve"> - </v>
      </c>
      <c r="AV13" s="948">
        <f>SUBTOTAL(9,AV9:AV12)</f>
        <v>-2.1201413427561839E-2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2.5417801503431745</v>
      </c>
      <c r="AQ18" s="947">
        <f>IF(ISNUMBER(((Datos!M18/Datos!L18)*11)/factor_trimestre),((Datos!M18/Datos!L18)*11)/factor_trimestre," - ")</f>
        <v>9.003300330033003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-5.8309037900874635E-3</v>
      </c>
      <c r="AW18" s="949">
        <f>IF(ISNUMBER((Datos!Q18-Datos!R18)/(Datos!S18-Datos!Q18+Datos!R18)),(Datos!Q18-Datos!R18)/(Datos!S18-Datos!Q18+Datos!R18)," - ")</f>
        <v>0.12332838038632987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82</v>
      </c>
      <c r="AC19" s="960">
        <f t="shared" si="5"/>
        <v>0</v>
      </c>
      <c r="AD19" s="960">
        <f t="shared" si="5"/>
        <v>6</v>
      </c>
      <c r="AE19" s="960">
        <f t="shared" si="5"/>
        <v>0</v>
      </c>
      <c r="AF19" s="961">
        <f t="shared" si="5"/>
        <v>92</v>
      </c>
      <c r="AG19" s="961">
        <f t="shared" si="5"/>
        <v>0</v>
      </c>
      <c r="AH19" s="961">
        <f t="shared" si="5"/>
        <v>277</v>
      </c>
      <c r="AI19" s="961">
        <f t="shared" si="5"/>
        <v>0</v>
      </c>
      <c r="AJ19" s="962">
        <f t="shared" si="5"/>
        <v>0</v>
      </c>
      <c r="AK19" s="962">
        <f t="shared" si="5"/>
        <v>0</v>
      </c>
      <c r="AL19" s="954">
        <f t="shared" si="5"/>
        <v>36</v>
      </c>
      <c r="AM19" s="954">
        <f t="shared" si="5"/>
        <v>41</v>
      </c>
      <c r="AN19" s="954">
        <f t="shared" si="5"/>
        <v>0</v>
      </c>
      <c r="AO19" s="954">
        <f t="shared" si="5"/>
        <v>0</v>
      </c>
      <c r="AP19" s="954">
        <f>IF(ISNUMBER(((Datos!L19/Datos!K19)*11)/factor_trimestre),((Datos!L19/Datos!K19)*11)/factor_trimestre," - ")</f>
        <v>3.6777283793796971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-1.2238805970149254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-6.7467553362651506E-2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47.342722073549311</v>
      </c>
      <c r="AC21" s="741">
        <f>IF(ISNUMBER(STDEV(AC8:AC18)),STDEV(AC8:AC18),"-")</f>
        <v>0</v>
      </c>
      <c r="AD21" s="744"/>
      <c r="AE21" s="744"/>
      <c r="AF21" s="744"/>
      <c r="AG21" s="744"/>
      <c r="AH21" s="744"/>
      <c r="AI21" s="744"/>
      <c r="AJ21" s="745">
        <f>IF(ISNUMBER(STDEV(AJ8:AJ18)),STDEV(AJ8:AJ18),"-")</f>
        <v>0</v>
      </c>
      <c r="AK21" s="747"/>
      <c r="AL21" s="739">
        <f>IF(ISNUMBER(STDEV(AL8:AL18)),STDEV(AL8:AL18),"-")</f>
        <v>20.784609690826528</v>
      </c>
      <c r="AM21" s="739"/>
      <c r="AN21" s="739">
        <f>IF(ISNUMBER(STDEV(AN8:AN18)),STDEV(AN8:AN18),"-")</f>
        <v>0</v>
      </c>
      <c r="AO21" s="745">
        <f>IF(ISNUMBER(STDEV(AO8:AO18)),STDEV(AO8:AO18),"-")</f>
        <v>0</v>
      </c>
      <c r="AP21" s="782">
        <f>IF(ISNUMBER(STDEV(AP8:AP18)),STDEV(AP8:AP18),"-")</f>
        <v>5.3219196198347563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YfbAWfNy7bfG4Iz0tE5ppeZhM87Jb7+SUwrw4hudJ/s4/JVf2Sl5KlPvtgXHUVmMV+2f8whw0Wo53Y+LGtcIw==" saltValue="2G6J0YiOaFzMvKdjydk/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GANDIA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w713oVZ5fjAcTLx12WejjhsYlKN3eP3w1F8DeBFzEmQ9llpB7u+xT4nScOCz5d+omgUq9alcmEXefWFiMPBGg==" saltValue="E0LdFKS3nCBcHai1oIjc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GANDIA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1649</v>
      </c>
      <c r="E9" s="407">
        <f t="shared" ref="E9:E13" si="0">IF(ISNUMBER(D9/B9),D9/B9," - ")</f>
        <v>274.83333333333331</v>
      </c>
      <c r="F9" s="406">
        <f>IF(ISNUMBER(Datos!N9),Datos!N9," - ")</f>
        <v>3899</v>
      </c>
      <c r="G9" s="407">
        <f t="shared" ref="G9:G13" si="1">IF(ISNUMBER(F9/B9),F9/B9," - ")</f>
        <v>649.83333333333337</v>
      </c>
      <c r="H9" s="406">
        <f>IF(ISNUMBER(Datos!O9),Datos!O9," - ")</f>
        <v>6343</v>
      </c>
      <c r="I9" s="407">
        <f>IF(ISNUMBER(H9/B9),H9/B9," - ")</f>
        <v>1057.1666666666667</v>
      </c>
    </row>
    <row r="10" spans="1:9">
      <c r="A10" s="405" t="str">
        <f>Datos!A10</f>
        <v>Jdos. Violencia contra la mujer</v>
      </c>
      <c r="B10" s="430">
        <f>Datos!AO10</f>
        <v>1</v>
      </c>
      <c r="C10" s="413">
        <f>Datos!AQ10</f>
        <v>1</v>
      </c>
      <c r="D10" s="406">
        <f>IF(ISNUMBER(Datos!M10),Datos!M10," - ")</f>
        <v>36</v>
      </c>
      <c r="E10" s="407">
        <f>IF(ISNUMBER(D10/B10),D10/B10," - ")</f>
        <v>36</v>
      </c>
      <c r="F10" s="406">
        <f>IF(ISNUMBER(Datos!N10),Datos!N10," - ")</f>
        <v>37</v>
      </c>
      <c r="G10" s="407">
        <f>IF(ISNUMBER(F10/B10),F10/B10," - ")</f>
        <v>37</v>
      </c>
      <c r="H10" s="406">
        <f>IF(ISNUMBER(Datos!O10),Datos!O10," - ")</f>
        <v>30</v>
      </c>
      <c r="I10" s="407">
        <f t="shared" ref="I10:I12" si="2">IF(ISNUMBER(H10/B10),H10/B10," - ")</f>
        <v>30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4</v>
      </c>
      <c r="G12" s="407" t="str">
        <f t="shared" si="1"/>
        <v xml:space="preserve"> - </v>
      </c>
      <c r="H12" s="406">
        <f>IF(ISNUMBER(Datos!O12),Datos!O12," - ")</f>
        <v>2</v>
      </c>
      <c r="I12" s="407" t="str">
        <f t="shared" si="2"/>
        <v xml:space="preserve"> - </v>
      </c>
    </row>
    <row r="13" spans="1:9" ht="14.25" thickTop="1" thickBot="1">
      <c r="A13" s="851" t="str">
        <f>Datos!A13</f>
        <v>TOTAL</v>
      </c>
      <c r="B13" s="852">
        <f>Datos!AO13</f>
        <v>7</v>
      </c>
      <c r="C13" s="854">
        <f>Datos!AR13</f>
        <v>7</v>
      </c>
      <c r="D13" s="852">
        <f>SUBTOTAL(9,D9:D12)</f>
        <v>1685</v>
      </c>
      <c r="E13" s="853">
        <f t="shared" si="0"/>
        <v>240.71428571428572</v>
      </c>
      <c r="F13" s="852">
        <f>SUBTOTAL(9,F9:F12)</f>
        <v>3940</v>
      </c>
      <c r="G13" s="853">
        <f t="shared" si="1"/>
        <v>562.85714285714289</v>
      </c>
      <c r="H13" s="852">
        <f>SUBTOTAL(9,H9:H12)</f>
        <v>6375</v>
      </c>
      <c r="I13" s="853">
        <f>IF(ISNUMBER(H13/B13),H13/B13," - ")</f>
        <v>910.71428571428567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1498</v>
      </c>
      <c r="E15" s="407">
        <f t="shared" ref="E15:E18" si="3">IF(ISNUMBER(D15/B15),D15/B15," - ")</f>
        <v>499.33333333333331</v>
      </c>
      <c r="F15" s="406">
        <f>IF(ISNUMBER(Datos!N15),Datos!N15," - ")</f>
        <v>4379</v>
      </c>
      <c r="G15" s="407">
        <f t="shared" ref="G15:G18" si="4">IF(ISNUMBER(F15/B15),F15/B15," - ")</f>
        <v>1459.6666666666667</v>
      </c>
      <c r="H15" s="406">
        <f>IF(ISNUMBER(Datos!O15),Datos!O15," - ")</f>
        <v>355</v>
      </c>
      <c r="I15" s="407">
        <f t="shared" ref="I15:I17" si="5">IF(ISNUMBER(H15/B15),H15/B15," - ")</f>
        <v>118.33333333333333</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238</v>
      </c>
      <c r="E17" s="407">
        <f>IF(ISNUMBER(D17/B17),D17/B17," - ")</f>
        <v>238</v>
      </c>
      <c r="F17" s="406">
        <f>IF(ISNUMBER(Datos!N17),Datos!N17," - ")</f>
        <v>677</v>
      </c>
      <c r="G17" s="407">
        <f>IF(ISNUMBER(F17/B17),F17/B17," - ")</f>
        <v>677</v>
      </c>
      <c r="H17" s="406">
        <f>IF(ISNUMBER(Datos!O17),Datos!O17," - ")</f>
        <v>58</v>
      </c>
      <c r="I17" s="407">
        <f t="shared" si="5"/>
        <v>58</v>
      </c>
    </row>
    <row r="18" spans="1:9" ht="14.25" thickTop="1" thickBot="1">
      <c r="A18" s="851" t="str">
        <f>Datos!A18</f>
        <v>TOTAL</v>
      </c>
      <c r="B18" s="852">
        <f>Datos!AO18</f>
        <v>4</v>
      </c>
      <c r="C18" s="854">
        <f>Datos!AR18</f>
        <v>4</v>
      </c>
      <c r="D18" s="852">
        <f>SUBTOTAL(9,D15:D17)</f>
        <v>1736</v>
      </c>
      <c r="E18" s="853">
        <f t="shared" si="3"/>
        <v>434</v>
      </c>
      <c r="F18" s="852">
        <f>SUBTOTAL(9,F15:F17)</f>
        <v>5056</v>
      </c>
      <c r="G18" s="853">
        <f t="shared" si="4"/>
        <v>1264</v>
      </c>
      <c r="H18" s="852">
        <f>SUBTOTAL(9,H15:H17)</f>
        <v>413</v>
      </c>
      <c r="I18" s="853">
        <f>IF(ISNUMBER(H18/B18),H18/B18," - ")</f>
        <v>103.25</v>
      </c>
    </row>
    <row r="19" spans="1:9" ht="14.25" thickTop="1" thickBot="1">
      <c r="A19" s="796" t="str">
        <f>Datos!A19</f>
        <v>TOTAL JURISDICCIONES</v>
      </c>
      <c r="B19" s="797">
        <f>Datos!AP19</f>
        <v>10</v>
      </c>
      <c r="C19" s="797">
        <f>Datos!AR19</f>
        <v>10</v>
      </c>
      <c r="D19" s="797">
        <f>SUBTOTAL(9,D8:D18)</f>
        <v>3421</v>
      </c>
      <c r="E19" s="798">
        <f>IF(ISNUMBER(D19/B19),D19/B19," - ")</f>
        <v>342.1</v>
      </c>
      <c r="F19" s="797">
        <f>SUBTOTAL(9,F8:F18)</f>
        <v>8996</v>
      </c>
      <c r="G19" s="798">
        <f>IF(ISNUMBER(F19/B19),F19/B19," - ")</f>
        <v>899.6</v>
      </c>
      <c r="H19" s="797">
        <f>SUBTOTAL(9,H8:H18)</f>
        <v>6788</v>
      </c>
      <c r="I19" s="798">
        <f>IF(ISNUMBER(H19/B19),H19/B19," - ")</f>
        <v>678.8</v>
      </c>
    </row>
    <row r="22" spans="1:9">
      <c r="A22" s="394" t="str">
        <f>Criterios!A4</f>
        <v>Fecha Informe: 03 may. 2024</v>
      </c>
    </row>
    <row r="27" spans="1:9">
      <c r="A27" s="417"/>
    </row>
  </sheetData>
  <sheetProtection algorithmName="SHA-512" hashValue="XfCjDJ5u+RkCrfPprJNZ0GHQMF7bUdbkbV+FurZMiuN/XR8fJYCIZDTGdtK445SlUomX0hhalQ96rMrQELn8OA==" saltValue="eJQcVJnRZedjqn9TUFQD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GANDIA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2295</v>
      </c>
      <c r="C9" s="437">
        <f>IF(ISNUMBER(Datos!Q9),Datos!Q9," - ")</f>
        <v>2925</v>
      </c>
      <c r="D9" s="411">
        <f>IF(ISNUMBER(Datos!R9),Datos!R9," - ")</f>
        <v>8006</v>
      </c>
    </row>
    <row r="10" spans="1:4">
      <c r="A10" s="405" t="str">
        <f>Datos!A10</f>
        <v>Jdos. Violencia contra la mujer</v>
      </c>
      <c r="B10" s="436">
        <f>IF(ISNUMBER(Datos!P10),Datos!P10," - ")</f>
        <v>34</v>
      </c>
      <c r="C10" s="437">
        <f>IF(ISNUMBER(Datos!Q10),Datos!Q10," - ")</f>
        <v>25</v>
      </c>
      <c r="D10" s="411">
        <f>IF(ISNUMBER(Datos!R10),Datos!R10," - ")</f>
        <v>70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6</v>
      </c>
      <c r="D12" s="411">
        <f>IF(ISNUMBER(Datos!R12),Datos!R12," - ")</f>
        <v>277</v>
      </c>
    </row>
    <row r="13" spans="1:4" ht="14.25" thickTop="1" thickBot="1">
      <c r="A13" s="851" t="str">
        <f>Datos!A13</f>
        <v>TOTAL</v>
      </c>
      <c r="B13" s="852">
        <f>SUBTOTAL(9,B9:B12)</f>
        <v>2329</v>
      </c>
      <c r="C13" s="856">
        <f>SUBTOTAL(9,C9:C12)</f>
        <v>2956</v>
      </c>
      <c r="D13" s="854">
        <f>SUBTOTAL(9,D9:D12)</f>
        <v>8353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446</v>
      </c>
      <c r="C15" s="437">
        <f>IF(ISNUMBER(Datos!Q15),Datos!Q15," - ")</f>
        <v>452</v>
      </c>
      <c r="D15" s="411">
        <f>IF(ISNUMBER(Datos!R15),Datos!R15," - ")</f>
        <v>317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59</v>
      </c>
      <c r="C17" s="437">
        <f>IF(ISNUMBER(Datos!Q17),Datos!Q17," - ")</f>
        <v>55</v>
      </c>
      <c r="D17" s="411">
        <f>IF(ISNUMBER(Datos!R17),Datos!R17," - ")</f>
        <v>24</v>
      </c>
    </row>
    <row r="18" spans="1:4" ht="14.25" thickTop="1" thickBot="1">
      <c r="A18" s="851" t="str">
        <f>Datos!A18</f>
        <v>TOTAL</v>
      </c>
      <c r="B18" s="852">
        <f>SUBTOTAL(9,B15:B17)</f>
        <v>505</v>
      </c>
      <c r="C18" s="856">
        <f>SUBTOTAL(9,C15:C17)</f>
        <v>507</v>
      </c>
      <c r="D18" s="854">
        <f>SUBTOTAL(9,D15:D17)</f>
        <v>341</v>
      </c>
    </row>
    <row r="19" spans="1:4" ht="16.5" customHeight="1" thickTop="1" thickBot="1">
      <c r="A19" s="796" t="str">
        <f>Datos!A19</f>
        <v>TOTAL JURISDICCIONES</v>
      </c>
      <c r="B19" s="801">
        <f>SUBTOTAL(9,B8:B18)</f>
        <v>2834</v>
      </c>
      <c r="C19" s="802">
        <f>SUBTOTAL(9,C8:C18)</f>
        <v>3463</v>
      </c>
      <c r="D19" s="803">
        <f>SUBTOTAL(9,D8:D18)</f>
        <v>8694</v>
      </c>
    </row>
    <row r="20" spans="1:4" ht="7.5" customHeight="1"/>
    <row r="21" spans="1:4" ht="6" customHeight="1"/>
    <row r="22" spans="1:4">
      <c r="A22" s="394" t="str">
        <f>Criterios!A4</f>
        <v>Fecha Informe: 03 may. 2024</v>
      </c>
    </row>
    <row r="27" spans="1:4">
      <c r="A27" s="417"/>
    </row>
  </sheetData>
  <sheetProtection algorithmName="SHA-512" hashValue="gBTNo9jmxlz9Z17/6K/JY0Z87KHWAfvRRi6CT6F8X458APy88i7Lswy6HNhdQJr3HO8RMPz5JDZKlfuftTqxVw==" saltValue="519y49uQMQwsi4z6vsdU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GANDIA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0.11609306834706738</v>
      </c>
      <c r="C9" s="459">
        <f>IF(ISNUMBER(
   IF(J_V="SI",(Datos!J9-Datos!T9)/Datos!T9,(Datos!J9+Datos!Z9-(Datos!T9+Datos!AH9))/(Datos!T9+Datos!AH9))
     ),IF(J_V="SI",(Datos!J9-Datos!T9)/Datos!T9,(Datos!J9+Datos!Z9-(Datos!T9+Datos!AH9))/(Datos!T9+Datos!AH9))," - ")</f>
        <v>9.7451274362818585E-2</v>
      </c>
      <c r="D9" s="459">
        <f>IF(ISNUMBER(
   IF(J_V="SI",(Datos!K9-Datos!U9)/Datos!U9,(Datos!K9+Datos!AA9-(Datos!U9+Datos!AI9))/(Datos!U9+Datos!AI9))
     ),IF(J_V="SI",(Datos!K9-Datos!U9)/Datos!U9,(Datos!K9+Datos!AA9-(Datos!U9+Datos!AI9))/(Datos!U9+Datos!AI9))," - ")</f>
        <v>0.19253036667045068</v>
      </c>
      <c r="E9" s="459">
        <f>IF(ISNUMBER(
   IF(J_V="SI",(Datos!L9-Datos!V9)/Datos!V9,(Datos!L9+Datos!AB9-(Datos!V9+Datos!AJ9))/(Datos!V9+Datos!AJ9))
     ),IF(J_V="SI",(Datos!L9-Datos!V9)/Datos!V9,(Datos!L9+Datos!AB9-(Datos!V9+Datos!AJ9))/(Datos!V9+Datos!AJ9))," - ")</f>
        <v>-6.9489685124864281E-2</v>
      </c>
      <c r="F9" s="459">
        <f>IF(ISNUMBER((Datos!M9-Datos!W9)/Datos!W9),(Datos!M9-Datos!W9)/Datos!W9," - ")</f>
        <v>6.5934065934065936E-2</v>
      </c>
      <c r="G9" s="460">
        <f>IF(ISNUMBER((Datos!N9-Datos!X9)/Datos!X9),(Datos!N9-Datos!X9)/Datos!X9," - ")</f>
        <v>0.18474627772713462</v>
      </c>
      <c r="H9" s="458">
        <f>IF(ISNUMBER(((NºAsuntos!G9/NºAsuntos!E9)-Datos!BD9)/Datos!BD9),((NºAsuntos!G9/NºAsuntos!E9)-Datos!BD9)/Datos!BD9," - ")</f>
        <v>8.6636276733866813E-2</v>
      </c>
      <c r="I9" s="459">
        <f>IF(ISNUMBER(((NºAsuntos!I9/NºAsuntos!G9)-Datos!BE9)/Datos!BE9),((NºAsuntos!I9/NºAsuntos!G9)-Datos!BE9)/Datos!BE9," - ")</f>
        <v>-0.21971771882579044</v>
      </c>
      <c r="J9" s="464">
        <f>IF(ISNUMBER((('Resol  Asuntos'!D9/NºAsuntos!G9)-Datos!BF9)/Datos!BF9),(('Resol  Asuntos'!D9/NºAsuntos!G9)-Datos!BF9)/Datos!BF9," - ")</f>
        <v>-0.57983165834850825</v>
      </c>
      <c r="K9" s="465">
        <f>IF(ISNUMBER((((NºAsuntos!C9+NºAsuntos!E9)/NºAsuntos!G9)-Datos!BG9)/Datos!BG9),(((NºAsuntos!C9+NºAsuntos!E9)/NºAsuntos!G9)-Datos!BG9)/Datos!BG9," - ")</f>
        <v>-7.493844710226269E-2</v>
      </c>
    </row>
    <row r="10" spans="1:11">
      <c r="A10" s="405" t="str">
        <f>Datos!A10</f>
        <v>Jdos. Violencia contra la mujer</v>
      </c>
      <c r="B10" s="458">
        <f>IF(ISNUMBER((Datos!I10-Datos!S10)/Datos!S10),(Datos!I10-Datos!S10)/Datos!S10," - ")</f>
        <v>0.67500000000000004</v>
      </c>
      <c r="C10" s="459">
        <f>IF(ISNUMBER((Datos!J10-Datos!T10)/Datos!T10),(Datos!J10-Datos!T10)/Datos!T10," - ")</f>
        <v>5.9405940594059403E-2</v>
      </c>
      <c r="D10" s="459">
        <f>IF(ISNUMBER((Datos!K10-Datos!U10)/Datos!U10),(Datos!K10-Datos!U10)/Datos!U10," - ")</f>
        <v>0.10810810810810811</v>
      </c>
      <c r="E10" s="459">
        <f>IF(ISNUMBER((Datos!L10-Datos!V10)/Datos!V10),(Datos!L10-Datos!V10)/Datos!V10," - ")</f>
        <v>0.37313432835820898</v>
      </c>
      <c r="F10" s="459">
        <f>IF(ISNUMBER((Datos!M10-Datos!W10)/Datos!W10),(Datos!M10-Datos!W10)/Datos!W10," - ")</f>
        <v>0.44</v>
      </c>
      <c r="G10" s="460">
        <f>IF(ISNUMBER((Datos!N10-Datos!X10)/Datos!X10),(Datos!N10-Datos!X10)/Datos!X10," - ")</f>
        <v>2.7777777777777776E-2</v>
      </c>
      <c r="H10" s="458">
        <f>IF(ISNUMBER(((NºAsuntos!G10/NºAsuntos!E10)-Datos!BD10)/Datos!BD10),((NºAsuntos!G10/NºAsuntos!E10)-Datos!BD10)/Datos!BD10," - ")</f>
        <v>4.5971204849709506E-2</v>
      </c>
      <c r="I10" s="459">
        <f>IF(ISNUMBER(((NºAsuntos!I10/NºAsuntos!G10)-Datos!BE10)/Datos!BE10),((NºAsuntos!I10/NºAsuntos!G10)-Datos!BE10)/Datos!BE10," - ")</f>
        <v>0.23917000364033508</v>
      </c>
      <c r="J10" s="464">
        <f>IF(ISNUMBER((('Resol  Asuntos'!D10/NºAsuntos!G10)-Datos!BF10)/Datos!BF10),(('Resol  Asuntos'!D10/NºAsuntos!G10)-Datos!BF10)/Datos!BF10," - ")</f>
        <v>0.29951219512195126</v>
      </c>
      <c r="K10" s="465">
        <f>IF(ISNUMBER((((NºAsuntos!C10+NºAsuntos!E10)/NºAsuntos!G10)-Datos!BG10)/Datos!BG10),(((NºAsuntos!C10+NºAsuntos!E10)/NºAsuntos!G10)-Datos!BG10)/Datos!BG10," - ")</f>
        <v>0.11364815775817334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f>IF(ISNUMBER(
   IF(J_V="SI",(Datos!J12-Datos!T12)/Datos!T12,(Datos!J12+Datos!Z12-(Datos!T12+Datos!AH12))/(Datos!T12+Datos!AH12))
     ),IF(J_V="SI",(Datos!J12-Datos!T12)/Datos!T12,(Datos!J12+Datos!Z12-(Datos!T12+Datos!AH12))/(Datos!T12+Datos!AH12))," - ")</f>
        <v>-1</v>
      </c>
      <c r="D12" s="459">
        <f>IF(ISNUMBER(
   IF(J_V="SI",(Datos!K12-Datos!U12)/Datos!U12,(Datos!K12+Datos!AA12-(Datos!U12+Datos!AI12))/(Datos!U12+Datos!AI12))
     ),IF(J_V="SI",(Datos!K12-Datos!U12)/Datos!U12,(Datos!K12+Datos!AA12-(Datos!U12+Datos!AI12))/(Datos!U12+Datos!AI12))," - ")</f>
        <v>-0.5</v>
      </c>
      <c r="E12" s="459">
        <f>IF(ISNUMBER(
   IF(J_V="SI",(Datos!L12-Datos!V12)/Datos!V12,(Datos!L12+Datos!AB12-(Datos!V12+Datos!AJ12))/(Datos!V12+Datos!AJ12))
     ),IF(J_V="SI",(Datos!L12-Datos!V12)/Datos!V12,(Datos!L12+Datos!AB12-(Datos!V12+Datos!AJ12))/(Datos!V12+Datos!AJ12))," - ")</f>
        <v>-1</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f>IF(ISNUMBER(((NºAsuntos!I12/NºAsuntos!G12)-Datos!BE12)/Datos!BE12),((NºAsuntos!I12/NºAsuntos!G12)-Datos!BE12)/Datos!BE12," - ")</f>
        <v>-1</v>
      </c>
      <c r="J12" s="464" t="str">
        <f>IF(ISNUMBER((('Resol  Asuntos'!D12/NºAsuntos!G12)-Datos!BF12)/Datos!BF12),(('Resol  Asuntos'!D12/NºAsuntos!G12)-Datos!BF12)/Datos!BF12," - ")</f>
        <v xml:space="preserve"> - </v>
      </c>
      <c r="K12" s="465">
        <f>IF(ISNUMBER((((NºAsuntos!C12+NºAsuntos!E12)/NºAsuntos!G12)-Datos!BG12)/Datos!BG12),(((NºAsuntos!C12+NºAsuntos!E12)/NºAsuntos!G12)-Datos!BG12)/Datos!BG12," - ")</f>
        <v>-0.33333333333333331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0.12143028557715382</v>
      </c>
      <c r="C13" s="858">
        <f>IF(ISNUMBER(
   IF(J_V="SI",(Datos!J13-Datos!T13)/Datos!T13,(Datos!J13+Datos!Z13-(Datos!T13+Datos!AH13))/(Datos!T13+Datos!AH13))
     ),IF(J_V="SI",(Datos!J13-Datos!T13)/Datos!T13,(Datos!J13+Datos!Z13-(Datos!T13+Datos!AH13))/(Datos!T13+Datos!AH13))," - ")</f>
        <v>9.681177841330367E-2</v>
      </c>
      <c r="D13" s="858">
        <f>IF(ISNUMBER(
   IF(J_V="SI",(Datos!K13-Datos!U13)/Datos!U13,(Datos!K13+Datos!AA13-(Datos!U13+Datos!AI13))/(Datos!U13+Datos!AI13))
     ),IF(J_V="SI",(Datos!K13-Datos!U13)/Datos!U13,(Datos!K13+Datos!AA13-(Datos!U13+Datos!AI13))/(Datos!U13+Datos!AI13))," - ")</f>
        <v>0.19167135621834552</v>
      </c>
      <c r="E13" s="858">
        <f>IF(ISNUMBER(
   IF(J_V="SI",(Datos!L13-Datos!V13)/Datos!V13,(Datos!L13+Datos!AB13-(Datos!V13+Datos!AJ13))/(Datos!V13+Datos!AJ13))
     ),IF(J_V="SI",(Datos!L13-Datos!V13)/Datos!V13,(Datos!L13+Datos!AB13-(Datos!V13+Datos!AJ13))/(Datos!V13+Datos!AJ13))," - ")</f>
        <v>-6.3342606462657824E-2</v>
      </c>
      <c r="F13" s="859">
        <f>IF(ISNUMBER((Datos!M13-Datos!W13)/Datos!W13),(Datos!M13-Datos!W13)/Datos!W13," - ")</f>
        <v>7.1882951653944024E-2</v>
      </c>
      <c r="G13" s="860">
        <f>IF(ISNUMBER((Datos!N13-Datos!X13)/Datos!X13),(Datos!N13-Datos!X13)/Datos!X13," - ")</f>
        <v>0.18425007514277125</v>
      </c>
      <c r="H13" s="860">
        <f>IF(ISNUMBER(((NºAsuntos!G13/NºAsuntos!E13)-Datos!BD13)/Datos!BD13),((NºAsuntos!G13/NºAsuntos!E13)-Datos!BD13)/Datos!BD13," - ")</f>
        <v>8.6486651285118413E-2</v>
      </c>
      <c r="I13" s="860">
        <f>IF(ISNUMBER(((NºAsuntos!I13/NºAsuntos!G13)-Datos!BE13)/Datos!BE13),((NºAsuntos!I13/NºAsuntos!G13)-Datos!BE13)/Datos!BE13," - ")</f>
        <v>-0.21399688878170711</v>
      </c>
      <c r="J13" s="860">
        <f>IF(ISNUMBER((('Resol  Asuntos'!D13/NºAsuntos!G13)-Datos!BF13)/Datos!BF13),(('Resol  Asuntos'!D13/NºAsuntos!G13)-Datos!BF13)/Datos!BF13," - ")</f>
        <v>-0.57358852546274253</v>
      </c>
      <c r="K13" s="860">
        <f>IF(ISNUMBER((((NºAsuntos!C13+NºAsuntos!E13)/NºAsuntos!G13)-Datos!BG13)/Datos!BG13),(((NºAsuntos!C13+NºAsuntos!E13)/NºAsuntos!G13)-Datos!BG13)/Datos!BG13," - ")</f>
        <v>-7.3276053531478938E-2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-1.6323633782824698E-2</v>
      </c>
      <c r="C15" s="459">
        <f>IF(ISNUMBER(
   IF(D_I="SI",(Datos!J15-Datos!T15)/Datos!T15,(Datos!J15+Datos!AD15-(Datos!T15+Datos!AL15))/(Datos!T15+Datos!AL15))
     ),IF(D_I="SI",(Datos!J15-Datos!T15)/Datos!T15,(Datos!J15+Datos!AD15-(Datos!T15+Datos!AL15))/(Datos!T15+Datos!AL15))," - ")</f>
        <v>2.4764852958685558E-2</v>
      </c>
      <c r="D15" s="459">
        <f>IF(ISNUMBER(
   IF(D_I="SI",(Datos!K15-Datos!U15)/Datos!U15,(Datos!K15+Datos!AE15-(Datos!U15+Datos!AM15))/(Datos!U15+Datos!AM15))
     ),IF(D_I="SI",(Datos!K15-Datos!U15)/Datos!U15,(Datos!K15+Datos!AE15-(Datos!U15+Datos!AM15))/(Datos!U15+Datos!AM15))," - ")</f>
        <v>-4.5391545391545392E-2</v>
      </c>
      <c r="E15" s="459">
        <f>IF(ISNUMBER(
   IF(D_I="SI",(Datos!L15-Datos!V15)/Datos!V15,(Datos!L15+Datos!AF15-(Datos!V15+Datos!AN15))/(Datos!V15+Datos!AN15))
     ),IF(D_I="SI",(Datos!L15-Datos!V15)/Datos!V15,(Datos!L15+Datos!AF15-(Datos!V15+Datos!AN15))/(Datos!V15+Datos!AN15))," - ")</f>
        <v>0.45165945165945165</v>
      </c>
      <c r="F15" s="459">
        <f>IF(ISNUMBER((Datos!M15-Datos!W15)/Datos!W15),(Datos!M15-Datos!W15)/Datos!W15," - ")</f>
        <v>-2.5374105400130124E-2</v>
      </c>
      <c r="G15" s="460">
        <f>IF(ISNUMBER((Datos!N15-Datos!X15)/Datos!X15),(Datos!N15-Datos!X15)/Datos!X15," - ")</f>
        <v>-5.1548624648039852E-2</v>
      </c>
      <c r="H15" s="458">
        <f>IF(ISNUMBER(((NºAsuntos!G15/NºAsuntos!E15)-Datos!BD15)/Datos!BD15),((NºAsuntos!G15/NºAsuntos!E15)-Datos!BD15)/Datos!BD15," - ")</f>
        <v>-6.8460972434482362E-2</v>
      </c>
      <c r="I15" s="459">
        <f>IF(ISNUMBER(((NºAsuntos!I15/NºAsuntos!G15)-Datos!BE15)/Datos!BE15),((NºAsuntos!I15/NºAsuntos!G15)-Datos!BE15)/Datos!BE15," - ")</f>
        <v>0.52068572685632575</v>
      </c>
      <c r="J15" s="464">
        <f>IF(ISNUMBER((('Resol  Asuntos'!D15/NºAsuntos!G15)-Datos!BF15)/Datos!BF15),(('Resol  Asuntos'!D15/NºAsuntos!G15)-Datos!BF15)/Datos!BF15," - ")</f>
        <v>2.096926744654231E-2</v>
      </c>
      <c r="K15" s="465">
        <f>IF(ISNUMBER((((NºAsuntos!C15+NºAsuntos!E15)/NºAsuntos!G15)-Datos!BG15)/Datos!BG15),(((NºAsuntos!C15+NºAsuntos!E15)/NºAsuntos!G15)-Datos!BG15)/Datos!BG15," - ")</f>
        <v>6.7308956279995016E-2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-0.10679611650485436</v>
      </c>
      <c r="C17" s="459">
        <f>IF(ISNUMBER(
   IF(D_I="SI",(Datos!J17-Datos!T17)/Datos!T17,(Datos!J17+Datos!AD17-(Datos!T17+Datos!AL17))/(Datos!T17+Datos!AL17))
     ),IF(D_I="SI",(Datos!J17-Datos!T17)/Datos!T17,(Datos!J17+Datos!AD17-(Datos!T17+Datos!AL17))/(Datos!T17+Datos!AL17))," - ")</f>
        <v>2.6490066225165563E-2</v>
      </c>
      <c r="D17" s="459">
        <f>IF(ISNUMBER(
   IF(D_I="SI",(Datos!K17-Datos!U17)/Datos!U17,(Datos!K17+Datos!AE17-(Datos!U17+Datos!AM17))/(Datos!U17+Datos!AM17))
     ),IF(D_I="SI",(Datos!K17-Datos!U17)/Datos!U17,(Datos!K17+Datos!AE17-(Datos!U17+Datos!AM17))/(Datos!U17+Datos!AM17))," - ")</f>
        <v>-3.2715376226826608E-3</v>
      </c>
      <c r="E17" s="459">
        <f>IF(ISNUMBER(
   IF(D_I="SI",(Datos!L17-Datos!V17)/Datos!V17,(Datos!L17+Datos!AF17-(Datos!V17+Datos!AN17))/(Datos!V17+Datos!AN17))
     ),IF(D_I="SI",(Datos!L17-Datos!V17)/Datos!V17,(Datos!L17+Datos!AF17-(Datos!V17+Datos!AN17))/(Datos!V17+Datos!AN17))," - ")</f>
        <v>0.18478260869565216</v>
      </c>
      <c r="F17" s="459">
        <f>IF(ISNUMBER((Datos!M17-Datos!W17)/Datos!W17),(Datos!M17-Datos!W17)/Datos!W17," - ")</f>
        <v>-0.10861423220973783</v>
      </c>
      <c r="G17" s="460">
        <f>IF(ISNUMBER((Datos!N17-Datos!X17)/Datos!X17),(Datos!N17-Datos!X17)/Datos!X17," - ")</f>
        <v>3.834355828220859E-2</v>
      </c>
      <c r="H17" s="458">
        <f>IF(ISNUMBER(((NºAsuntos!G17/NºAsuntos!E17)-Datos!BD17)/Datos!BD17),((NºAsuntos!G17/NºAsuntos!E17)-Datos!BD17)/Datos!BD17," - ")</f>
        <v>-2.8993562458226294E-2</v>
      </c>
      <c r="I17" s="459">
        <f>IF(ISNUMBER(((NºAsuntos!I17/NºAsuntos!G17)-Datos!BE17)/Datos!BE17),((NºAsuntos!I17/NºAsuntos!G17)-Datos!BE17)/Datos!BE17," - ")</f>
        <v>0.18867139187517842</v>
      </c>
      <c r="J17" s="464">
        <f>IF(ISNUMBER((('Resol  Asuntos'!D17/NºAsuntos!G17)-Datos!BF17)/Datos!BF17),(('Resol  Asuntos'!D17/NºAsuntos!G17)-Datos!BF17)/Datos!BF17," - ")</f>
        <v>-0.10568845835484642</v>
      </c>
      <c r="K17" s="465">
        <f>IF(ISNUMBER((((NºAsuntos!C17+NºAsuntos!E17)/NºAsuntos!G17)-Datos!BG17)/Datos!BG17),(((NºAsuntos!C17+NºAsuntos!E17)/NºAsuntos!G17)-Datos!BG17)/Datos!BG17," - ")</f>
        <v>1.6208608302086428E-2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-2.2486772486772486E-2</v>
      </c>
      <c r="C18" s="858">
        <f>IF(ISNUMBER(
   IF(Criterios!B14="SI",(Datos!J18-Datos!T18)/Datos!T18,(Datos!J18+Datos!AD18-(Datos!T18+Datos!AL18))/(Datos!T18+Datos!AL18))
     ),IF(Criterios!B14="SI",(Datos!J18-Datos!T18)/Datos!T18,(Datos!J18+Datos!AD18-(Datos!T18+Datos!AL18))/(Datos!T18+Datos!AL18))," - ")</f>
        <v>2.4932831810854379E-2</v>
      </c>
      <c r="D18" s="858">
        <f>IF(ISNUMBER(
   IF(Criterios!B14="SI",(Datos!K18-Datos!U18)/Datos!U18,(Datos!K18+Datos!AE18-(Datos!U18+Datos!AM18))/(Datos!U18+Datos!AM18))
     ),IF(Criterios!B14="SI",(Datos!K18-Datos!U18)/Datos!U18,(Datos!K18+Datos!AE18-(Datos!U18+Datos!AM18))/(Datos!U18+Datos!AM18))," - ")</f>
        <v>-4.1357702349869449E-2</v>
      </c>
      <c r="E18" s="858">
        <f>IF(ISNUMBER(
   IF(Criterios!B14="SI",(Datos!L18-Datos!V18)/Datos!V18,(Datos!L18+Datos!AF18-(Datos!V18+Datos!AN18))/(Datos!V18+Datos!AN18))
     ),IF(Criterios!B14="SI",(Datos!L18-Datos!V18)/Datos!V18,(Datos!L18+Datos!AF18-(Datos!V18+Datos!AN18))/(Datos!V18+Datos!AN18))," - ")</f>
        <v>0.43504736129905275</v>
      </c>
      <c r="F18" s="859">
        <f>IF(ISNUMBER((Datos!M18-Datos!W18)/Datos!W18),(Datos!M18-Datos!W18)/Datos!W18," - ")</f>
        <v>-3.7694013303769404E-2</v>
      </c>
      <c r="G18" s="860">
        <f>IF(ISNUMBER((Datos!N18-Datos!X18)/Datos!X18),(Datos!N18-Datos!X18)/Datos!X18," - ")</f>
        <v>-4.0425128107800343E-2</v>
      </c>
      <c r="H18" s="860">
        <f>IF(ISNUMBER(((NºAsuntos!G18/NºAsuntos!E18)-Datos!BD18)/Datos!BD18),((NºAsuntos!G18/NºAsuntos!E18)-Datos!BD18)/Datos!BD18," - ")</f>
        <v>-6.4677930205047168E-2</v>
      </c>
      <c r="I18" s="860">
        <f>IF(ISNUMBER(((NºAsuntos!I18/NºAsuntos!G18)-Datos!BE18)/Datos!BE18),((NºAsuntos!I18/NºAsuntos!G18)-Datos!BE18)/Datos!BE18," - ")</f>
        <v>0.49695810920998251</v>
      </c>
      <c r="J18" s="860">
        <f>IF(ISNUMBER((('Resol  Asuntos'!D18/NºAsuntos!G18)-Datos!BF18)/Datos!BF18),(('Resol  Asuntos'!D18/NºAsuntos!G18)-Datos!BF18)/Datos!BF18," - ")</f>
        <v>3.8217477520871988E-3</v>
      </c>
      <c r="K18" s="860">
        <f>IF(ISNUMBER((((NºAsuntos!C18+NºAsuntos!E18)/NºAsuntos!G18)-Datos!BG18)/Datos!BG18),(((NºAsuntos!C18+NºAsuntos!E18)/NºAsuntos!G18)-Datos!BG18)/Datos!BG18," - ")</f>
        <v>6.2236167920023268E-2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8.3113224159182958E-2</v>
      </c>
      <c r="C19" s="805">
        <f>IF(ISNUMBER(
   IF(J_V="SI",(Datos!J19-Datos!T19)/Datos!T19,(Datos!J19+Datos!Z19-(Datos!T19+Datos!AH19))/(Datos!T19+Datos!AH19))
     ),IF(J_V="SI",(Datos!J19-Datos!T19)/Datos!T19,(Datos!J19+Datos!Z19-(Datos!T19+Datos!AH19))/(Datos!T19+Datos!AH19))," - ")</f>
        <v>6.1133041715565987E-2</v>
      </c>
      <c r="D19" s="805">
        <f>IF(ISNUMBER(
   IF(J_V="SI",(Datos!K19-Datos!U19)/Datos!U19,(Datos!K19+Datos!AA19-(Datos!U19+Datos!AI19))/(Datos!U19+Datos!AI19))
     ),IF(J_V="SI",(Datos!K19-Datos!U19)/Datos!U19,(Datos!K19+Datos!AA19-(Datos!U19+Datos!AI19))/(Datos!U19+Datos!AI19))," - ")</f>
        <v>7.0801733477789813E-2</v>
      </c>
      <c r="E19" s="805">
        <f>IF(ISNUMBER(
   IF(J_V="SI",(Datos!L19-Datos!V19)/Datos!V19,(Datos!L19+Datos!AB19-(Datos!V19+Datos!AJ19))/(Datos!V19+Datos!AJ19))
     ),IF(J_V="SI",(Datos!L19-Datos!V19)/Datos!V19,(Datos!L19+Datos!AB19-(Datos!V19+Datos!AJ19))/(Datos!V19+Datos!AJ19))," - ")</f>
        <v>5.6413591285969761E-2</v>
      </c>
      <c r="F19" s="806">
        <f>IF(ISNUMBER((Datos!M19-Datos!W19)/Datos!W19),(Datos!M19-Datos!W19)/Datos!W19," - ")</f>
        <v>1.3329383886255925E-2</v>
      </c>
      <c r="G19" s="807">
        <f>IF(ISNUMBER((Datos!N19-Datos!X19)/Datos!X19),(Datos!N19-Datos!X19)/Datos!X19," - ")</f>
        <v>4.6533271288971612E-2</v>
      </c>
      <c r="H19" s="808">
        <f>IF(ISNUMBER((Tasas!B19-Datos!BD19)/Datos!BD19),(Tasas!B19-Datos!BD19)/Datos!BD19," - ")</f>
        <v>9.1116677948244254E-3</v>
      </c>
      <c r="I19" s="809">
        <f>IF(ISNUMBER((Tasas!C19-Datos!BE19)/Datos!BE19),(Tasas!C19-Datos!BE19)/Datos!BE19," - ")</f>
        <v>-1.3436793891890453E-2</v>
      </c>
      <c r="J19" s="810">
        <f>IF(ISNUMBER((Tasas!D19-Datos!BF19)/Datos!BF19),(Tasas!D19-Datos!BF19)/Datos!BF19," - ")</f>
        <v>-0.37601514677239839</v>
      </c>
      <c r="K19" s="810">
        <f>IF(ISNUMBER((Tasas!E19-Datos!BG19)/Datos!BG19),(Tasas!E19-Datos!BG19)/Datos!BG19," - ")</f>
        <v>-4.2567456414827768E-3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QTmQwdStlUr6MnArlGqcVPXQ7NuAGTcV61IRZTx1CCxksPFm39UHMsIxofcMQzAEDF0kRtte5rZBFO1Zjpa9w==" saltValue="rOmAmaYK07Dbo2pn1TU8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GANDIA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1.0250780640124901</v>
      </c>
      <c r="C9" s="446">
        <f>IF(ISNUMBER(NºAsuntos!I9/NºAsuntos!G9),NºAsuntos!I9/NºAsuntos!G9," - ")</f>
        <v>0.40790099952403619</v>
      </c>
      <c r="D9" s="447">
        <f>IF(ISNUMBER('Resol  Asuntos'!D9/NºAsuntos!G9),'Resol  Asuntos'!D9/NºAsuntos!G9," - ")</f>
        <v>0.1569728700618753</v>
      </c>
      <c r="E9" s="448">
        <f>IF(ISNUMBER((NºAsuntos!C9+NºAsuntos!E9)/NºAsuntos!G9),(NºAsuntos!C9+NºAsuntos!E9)/NºAsuntos!G9," - ")</f>
        <v>1.4138981437410756</v>
      </c>
      <c r="G9" s="466"/>
    </row>
    <row r="10" spans="1:7">
      <c r="A10" s="405" t="str">
        <f>Datos!A10</f>
        <v>Jdos. Violencia contra la mujer</v>
      </c>
      <c r="B10" s="445">
        <f>IF(ISNUMBER(NºAsuntos!G10/NºAsuntos!E10),NºAsuntos!G10/NºAsuntos!E10," - ")</f>
        <v>0.76635514018691586</v>
      </c>
      <c r="C10" s="446">
        <f>IF(ISNUMBER(NºAsuntos!I10/NºAsuntos!G10),NºAsuntos!I10/NºAsuntos!G10," - ")</f>
        <v>1.1219512195121952</v>
      </c>
      <c r="D10" s="447">
        <f>IF(ISNUMBER('Resol  Asuntos'!D10/NºAsuntos!G10),'Resol  Asuntos'!D10/NºAsuntos!G10," - ")</f>
        <v>0.43902439024390244</v>
      </c>
      <c r="E10" s="448">
        <f>IF(ISNUMBER((NºAsuntos!C10+NºAsuntos!E10)/NºAsuntos!G10),(NºAsuntos!C10+NºAsuntos!E10)/NºAsuntos!G10," - ")</f>
        <v>2.1219512195121952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f>IF(ISNUMBER(NºAsuntos!I12/NºAsuntos!G12),NºAsuntos!I12/NºAsuntos!G12," - ")</f>
        <v>0</v>
      </c>
      <c r="D12" s="447">
        <f>IF(ISNUMBER('Resol  Asuntos'!D12/NºAsuntos!G12),'Resol  Asuntos'!D12/NºAsuntos!G12," - ")</f>
        <v>0</v>
      </c>
      <c r="E12" s="448">
        <f>IF(ISNUMBER((NºAsuntos!C12+NºAsuntos!E12)/NºAsuntos!G12),(NºAsuntos!C12+NºAsuntos!E12)/NºAsuntos!G12," - ")</f>
        <v>1</v>
      </c>
      <c r="G12" s="466"/>
    </row>
    <row r="13" spans="1:7" ht="14.25" thickTop="1" thickBot="1">
      <c r="A13" s="851" t="str">
        <f>Datos!A13</f>
        <v>TOTAL</v>
      </c>
      <c r="B13" s="861">
        <f>IF(ISNUMBER(NºAsuntos!G13/NºAsuntos!E13),NºAsuntos!G13/NºAsuntos!E13," - ")</f>
        <v>1.0225012071463062</v>
      </c>
      <c r="C13" s="862">
        <f>IF(ISNUMBER(NºAsuntos!I13/NºAsuntos!G13),NºAsuntos!I13/NºAsuntos!G13," - ")</f>
        <v>0.41339251983377406</v>
      </c>
      <c r="D13" s="863">
        <f>IF(ISNUMBER('Resol  Asuntos'!D13/NºAsuntos!G13),'Resol  Asuntos'!D13/NºAsuntos!G13," - ")</f>
        <v>0.15914242538723083</v>
      </c>
      <c r="E13" s="864">
        <f>IF(ISNUMBER((NºAsuntos!C13+NºAsuntos!E13)/NºAsuntos!G13),(NºAsuntos!C13+NºAsuntos!E13)/NºAsuntos!G13," - ")</f>
        <v>1.4193426520589347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0.96026490066225167</v>
      </c>
      <c r="C15" s="446">
        <f>IF(ISNUMBER(NºAsuntos!I15/NºAsuntos!G15),NºAsuntos!I15/NºAsuntos!G15," - ")</f>
        <v>0.24343617664851785</v>
      </c>
      <c r="D15" s="447">
        <f>IF(ISNUMBER('Resol  Asuntos'!D15/NºAsuntos!G15),'Resol  Asuntos'!D15/NºAsuntos!G15," - ")</f>
        <v>0.18124621899576526</v>
      </c>
      <c r="E15" s="448">
        <f>IF(ISNUMBER((NºAsuntos!C15+NºAsuntos!E15)/NºAsuntos!G15),(NºAsuntos!C15+NºAsuntos!E15)/NºAsuntos!G15," - ")</f>
        <v>1.2090744101633393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0.98279569892473118</v>
      </c>
      <c r="C17" s="446">
        <f>IF(ISNUMBER(NºAsuntos!I17/NºAsuntos!G17),NºAsuntos!I17/NºAsuntos!G17," - ")</f>
        <v>0.11925601750547046</v>
      </c>
      <c r="D17" s="447">
        <f>IF(ISNUMBER('Resol  Asuntos'!D17/NºAsuntos!G17),'Resol  Asuntos'!D17/NºAsuntos!G17," - ")</f>
        <v>0.26039387308533918</v>
      </c>
      <c r="E17" s="448">
        <f>IF(ISNUMBER((NºAsuntos!C17+NºAsuntos!E17)/NºAsuntos!G17),(NºAsuntos!C17+NºAsuntos!E17)/NºAsuntos!G17," - ")</f>
        <v>1.1181619256017505</v>
      </c>
      <c r="G17" s="466"/>
    </row>
    <row r="18" spans="1:7" ht="14.25" thickTop="1" thickBot="1">
      <c r="A18" s="851" t="str">
        <f>Datos!A18</f>
        <v>TOTAL</v>
      </c>
      <c r="B18" s="861">
        <f>IF(ISNUMBER(NºAsuntos!G18/NºAsuntos!E18),NºAsuntos!G18/NºAsuntos!E18," - ")</f>
        <v>0.96246199014365108</v>
      </c>
      <c r="C18" s="862">
        <f>IF(ISNUMBER(NºAsuntos!I18/NºAsuntos!G18),NºAsuntos!I18/NºAsuntos!G18," - ")</f>
        <v>0.23107092275847041</v>
      </c>
      <c r="D18" s="865">
        <f>IF(ISNUMBER('Resol  Asuntos'!D18/NºAsuntos!G18),'Resol  Asuntos'!D18/NºAsuntos!G18," - ")</f>
        <v>0.18912735592112431</v>
      </c>
      <c r="E18" s="864">
        <f>IF(ISNUMBER((NºAsuntos!C18+NºAsuntos!E18)/NºAsuntos!G18),(NºAsuntos!C18+NºAsuntos!E18)/NºAsuntos!G18," - ")</f>
        <v>1.2000217888658895</v>
      </c>
      <c r="G18" s="466"/>
    </row>
    <row r="19" spans="1:7" ht="15.75" customHeight="1" thickTop="1" thickBot="1">
      <c r="A19" s="796" t="str">
        <f>Datos!A19</f>
        <v>TOTAL JURISDICCIONES</v>
      </c>
      <c r="B19" s="811">
        <f>IF(ISNUMBER(NºAsuntos!G19/NºAsuntos!E19),NºAsuntos!G19/NºAsuntos!E19," - ")</f>
        <v>0.99371606676050672</v>
      </c>
      <c r="C19" s="812">
        <f>IF(ISNUMBER(NºAsuntos!I19/NºAsuntos!G19),NºAsuntos!I19/NºAsuntos!G19," - ")</f>
        <v>0.32872970101684623</v>
      </c>
      <c r="D19" s="813">
        <f>IF(ISNUMBER('Resol  Asuntos'!D19/NºAsuntos!G19),'Resol  Asuntos'!D19/NºAsuntos!G19," - ")</f>
        <v>0.17306622148024486</v>
      </c>
      <c r="E19" s="814">
        <f>IF(ISNUMBER((NºAsuntos!C19+NºAsuntos!E19)/NºAsuntos!G19),(NºAsuntos!C19+NºAsuntos!E19)/NºAsuntos!G19," - ")</f>
        <v>1.3174988617392625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svR3o1w5PrpNqQ2ZVHjVm7nSQmoInYkDyu/zxZAi7a82JejsnPMwARZARFkZg8Q4NLaaaz2h21IXDMht5R56g==" saltValue="+qplKIpqVRHrdfLL7QY1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GANDIA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2295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2925</v>
      </c>
      <c r="Y9" s="337">
        <f>SUM(W9:X9)</f>
        <v>2925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8006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1649</v>
      </c>
      <c r="AJ9" s="232" t="str">
        <f>IF(ISNUMBER(Datos!BW9),Datos!BW9," - ")</f>
        <v xml:space="preserve"> - </v>
      </c>
      <c r="AK9" s="231" t="str">
        <f>IF(ISNUMBER(Datos!BX9),Datos!BX9," - ")</f>
        <v xml:space="preserve"> - </v>
      </c>
      <c r="AL9" s="246">
        <f>IF(ISNUMBER(NºAsuntos!G9/NºAsuntos!E9),NºAsuntos!G9/NºAsuntos!E9," - ")</f>
        <v>1.0250780640124901</v>
      </c>
      <c r="AM9" s="263">
        <f>IF(ISNUMBER(((NºAsuntos!I9/NºAsuntos!G9)*11)/factor_trimestre),((NºAsuntos!I9/NºAsuntos!G9)*11)/factor_trimestre," - ")</f>
        <v>4.4869109947643979</v>
      </c>
      <c r="AN9" s="247">
        <f>IF(ISNUMBER('Resol  Asuntos'!D9/NºAsuntos!G9),'Resol  Asuntos'!D9/NºAsuntos!G9," - ")</f>
        <v>0.1569728700618753</v>
      </c>
      <c r="AO9" s="248">
        <f>IF(ISNUMBER((NºAsuntos!C9+NºAsuntos!E9)/NºAsuntos!G9),(NºAsuntos!C9+NºAsuntos!E9)/NºAsuntos!G9," - ")</f>
        <v>1.4138981437410756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82</v>
      </c>
      <c r="X10" s="229">
        <f>IF(ISNUMBER(Datos!Q10),Datos!Q10," - ")</f>
        <v>25</v>
      </c>
      <c r="Y10" s="337">
        <f t="shared" ref="Y10:Y12" si="0">SUM(W10:X10)</f>
        <v>107</v>
      </c>
      <c r="Z10" s="338" t="str">
        <f>IF(ISNUMBER(Datos!CC10),Datos!CC10," - ")</f>
        <v xml:space="preserve"> - </v>
      </c>
      <c r="AA10" s="335">
        <f>IF(ISNUMBER(Datos!L10),Datos!L10,"-")</f>
        <v>92</v>
      </c>
      <c r="AB10" s="337">
        <f>IF(ISNUMBER(Datos!R10),Datos!R10," - ")</f>
        <v>70</v>
      </c>
      <c r="AC10" s="337">
        <f t="shared" ref="AC10:AC12" si="1">IF(ISNUMBER(AA10+AB10),AA10+AB10," - ")</f>
        <v>162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36</v>
      </c>
      <c r="AJ10" s="234" t="str">
        <f>IF(ISNUMBER(Datos!BW10),Datos!BW10," - ")</f>
        <v xml:space="preserve"> - </v>
      </c>
      <c r="AK10" s="235" t="str">
        <f>IF(ISNUMBER(Datos!BX10),Datos!BX10," - ")</f>
        <v xml:space="preserve"> - </v>
      </c>
      <c r="AL10" s="246">
        <f>IF(ISNUMBER(NºAsuntos!G10/NºAsuntos!E10),NºAsuntos!G10/NºAsuntos!E10," - ")</f>
        <v>0.76635514018691586</v>
      </c>
      <c r="AM10" s="263">
        <f>IF(ISNUMBER(((NºAsuntos!I10/NºAsuntos!G10)*11)/factor_trimestre),((NºAsuntos!I10/NºAsuntos!G10)*11)/factor_trimestre," - ")</f>
        <v>12.341463414634148</v>
      </c>
      <c r="AN10" s="247">
        <f>IF(ISNUMBER('Resol  Asuntos'!D10/NºAsuntos!G10),'Resol  Asuntos'!D10/NºAsuntos!G10," - ")</f>
        <v>0.43902439024390244</v>
      </c>
      <c r="AO10" s="248">
        <f>IF(ISNUMBER((NºAsuntos!C10+NºAsuntos!E10)/NºAsuntos!G10),(NºAsuntos!C10+NºAsuntos!E10)/NºAsuntos!G10," - ")</f>
        <v>2.1219512195121952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v>
      </c>
      <c r="Y12" s="337">
        <f t="shared" si="0"/>
        <v>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f>IF(ISNUMBER(((NºAsuntos!I12/NºAsuntos!G12)*11)/factor_trimestre),((NºAsuntos!I12/NºAsuntos!G12)*11)/factor_trimestre," - ")</f>
        <v>0</v>
      </c>
      <c r="AN12" s="247">
        <f>IF(ISNUMBER('Resol  Asuntos'!D12/NºAsuntos!G12),'Resol  Asuntos'!D12/NºAsuntos!G12," - ")</f>
        <v>0</v>
      </c>
      <c r="AO12" s="248">
        <f>IF(ISNUMBER((NºAsuntos!C12+NºAsuntos!E12)/NºAsuntos!G12),(NºAsuntos!C12+NºAsuntos!E12)/NºAsuntos!G12," - ")</f>
        <v>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67</v>
      </c>
      <c r="G13" s="869">
        <f t="shared" si="3"/>
        <v>67</v>
      </c>
      <c r="H13" s="868">
        <f t="shared" si="3"/>
        <v>0</v>
      </c>
      <c r="I13" s="870">
        <f t="shared" si="3"/>
        <v>0</v>
      </c>
      <c r="J13" s="870">
        <f t="shared" si="3"/>
        <v>0</v>
      </c>
      <c r="K13" s="870">
        <f t="shared" si="3"/>
        <v>0</v>
      </c>
      <c r="L13" s="870">
        <f t="shared" si="3"/>
        <v>2329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82</v>
      </c>
      <c r="X13" s="870">
        <f t="shared" si="4"/>
        <v>2956</v>
      </c>
      <c r="Y13" s="871">
        <f t="shared" si="4"/>
        <v>3038</v>
      </c>
      <c r="Z13" s="871">
        <f t="shared" si="4"/>
        <v>0</v>
      </c>
      <c r="AA13" s="871">
        <f t="shared" si="4"/>
        <v>92</v>
      </c>
      <c r="AB13" s="871">
        <f t="shared" si="4"/>
        <v>8353</v>
      </c>
      <c r="AC13" s="871">
        <f t="shared" si="4"/>
        <v>162</v>
      </c>
      <c r="AD13" s="871">
        <f t="shared" si="4"/>
        <v>0</v>
      </c>
      <c r="AE13" s="875">
        <f t="shared" si="4"/>
        <v>0</v>
      </c>
      <c r="AF13" s="868">
        <f t="shared" si="4"/>
        <v>0</v>
      </c>
      <c r="AG13" s="876">
        <f t="shared" si="4"/>
        <v>0</v>
      </c>
      <c r="AH13" s="873">
        <f t="shared" si="4"/>
        <v>0</v>
      </c>
      <c r="AI13" s="868">
        <f t="shared" si="4"/>
        <v>1685</v>
      </c>
      <c r="AJ13" s="870">
        <f t="shared" si="4"/>
        <v>0</v>
      </c>
      <c r="AK13" s="873">
        <f>SUBTOTAL(9,AK9:AK12)</f>
        <v>0</v>
      </c>
      <c r="AL13" s="877">
        <f>IF(ISNUMBER(NºAsuntos!G13/NºAsuntos!E13),NºAsuntos!G13/NºAsuntos!E13," - ")</f>
        <v>1.0225012071463062</v>
      </c>
      <c r="AM13" s="877">
        <f>IF(ISNUMBER(((NºAsuntos!I13/NºAsuntos!G13)*11)/factor_trimestre),((NºAsuntos!I13/NºAsuntos!G13)*11)/factor_trimestre," - ")</f>
        <v>4.5473177181715148</v>
      </c>
      <c r="AN13" s="878">
        <f>IF(ISNUMBER('Resol  Asuntos'!D13/NºAsuntos!G13),'Resol  Asuntos'!D13/NºAsuntos!G13," - ")</f>
        <v>0.15914242538723083</v>
      </c>
      <c r="AO13" s="879">
        <f>IF(ISNUMBER((NºAsuntos!C13+NºAsuntos!E13)/NºAsuntos!G13),(NºAsuntos!C13+NºAsuntos!E13)/NºAsuntos!G13," - ")</f>
        <v>1.4193426520589347</v>
      </c>
      <c r="AP13" s="880" t="str">
        <f t="shared" si="2"/>
        <v xml:space="preserve"> - </v>
      </c>
      <c r="AQ13" s="880">
        <f>IF(ISNUMBER((H13-W13+K13)/(F13)),(H13-W13+K13)/(F13)," - ")</f>
        <v>-1.2238805970149254</v>
      </c>
      <c r="AR13" s="881">
        <f>IF(ISNUMBER((Datos!P13-Datos!Q13)/(Datos!R13-Datos!P13+Datos!Q13)),(Datos!P13-Datos!Q13)/(Datos!R13-Datos!P13+Datos!Q13)," - ")</f>
        <v>-6.9821826280623611E-2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1670</v>
      </c>
      <c r="G15" s="336">
        <f>IF(ISNUMBER(IF(D_I="SI",Datos!I15,Datos!I15+Datos!AC15)),IF(D_I="SI",Datos!I15,Datos!I15+Datos!AC15)," - ")</f>
        <v>1386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446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8265</v>
      </c>
      <c r="X15" s="229">
        <f>IF(ISNUMBER(Datos!Q15),Datos!Q15," - ")</f>
        <v>452</v>
      </c>
      <c r="Y15" s="337">
        <f>SUM(W15)</f>
        <v>8265</v>
      </c>
      <c r="Z15" s="338" t="str">
        <f>IF(ISNUMBER(Datos!CC15),Datos!CC15," - ")</f>
        <v xml:space="preserve"> - </v>
      </c>
      <c r="AA15" s="335">
        <f>IF(ISNUMBER(IF(D_I="SI",Datos!L15,Datos!L15+Datos!AF15)),IF(D_I="SI",Datos!L15,Datos!L15+Datos!AF15)," - ")</f>
        <v>2012</v>
      </c>
      <c r="AB15" s="337">
        <f>IF(ISNUMBER(Datos!R15),Datos!R15," - ")</f>
        <v>317</v>
      </c>
      <c r="AC15" s="337">
        <f t="shared" ref="AC15:AC17" si="6">IF(ISNUMBER(AA15+AB15),AA15+AB15," - ")</f>
        <v>2329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1498</v>
      </c>
      <c r="AJ15" s="234" t="str">
        <f>IF(ISNUMBER(Datos!BW15),Datos!BW15," - ")</f>
        <v xml:space="preserve"> - </v>
      </c>
      <c r="AK15" s="235" t="str">
        <f>IF(ISNUMBER(Datos!BX15),Datos!BX15," - ")</f>
        <v xml:space="preserve"> - </v>
      </c>
      <c r="AL15" s="246">
        <f>IF(ISNUMBER(NºAsuntos!G15/NºAsuntos!E15),NºAsuntos!G15/NºAsuntos!E15," - ")</f>
        <v>0.96026490066225167</v>
      </c>
      <c r="AM15" s="263">
        <f>IF(ISNUMBER(((NºAsuntos!I15/NºAsuntos!G15)*11)/factor_trimestre),((NºAsuntos!I15/NºAsuntos!G15)*11)/factor_trimestre," - ")</f>
        <v>2.6777979431336965</v>
      </c>
      <c r="AN15" s="247">
        <f>IF(ISNUMBER('Resol  Asuntos'!D15/NºAsuntos!G15),'Resol  Asuntos'!D15/NºAsuntos!G15," - ")</f>
        <v>0.18124621899576526</v>
      </c>
      <c r="AO15" s="248">
        <f>IF(ISNUMBER((NºAsuntos!C15+NºAsuntos!E15)/NºAsuntos!G15),(NºAsuntos!C15+NºAsuntos!E15)/NºAsuntos!G15," - ")</f>
        <v>1.2090744101633393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914</v>
      </c>
      <c r="X17" s="229">
        <f>IF(ISNUMBER(Datos!Q17),Datos!Q17," - ")</f>
        <v>55</v>
      </c>
      <c r="Y17" s="337">
        <f t="shared" si="7"/>
        <v>969</v>
      </c>
      <c r="Z17" s="338" t="str">
        <f>IF(ISNUMBER(Datos!CC17),Datos!CC17," - ")</f>
        <v xml:space="preserve"> - </v>
      </c>
      <c r="AA17" s="335">
        <f>IF(ISNUMBER(Datos!L17),Datos!L17,"-")</f>
        <v>109</v>
      </c>
      <c r="AB17" s="337">
        <f>IF(ISNUMBER(Datos!R17),Datos!R17," - ")</f>
        <v>24</v>
      </c>
      <c r="AC17" s="337">
        <f t="shared" si="6"/>
        <v>133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238</v>
      </c>
      <c r="AJ17" s="234" t="str">
        <f>IF(ISNUMBER(Datos!BW17),Datos!BW17," - ")</f>
        <v xml:space="preserve"> - </v>
      </c>
      <c r="AK17" s="235" t="str">
        <f>IF(ISNUMBER(Datos!BX17),Datos!BX17," - ")</f>
        <v xml:space="preserve"> - </v>
      </c>
      <c r="AL17" s="246">
        <f>IF(ISNUMBER(NºAsuntos!G17/NºAsuntos!E17),NºAsuntos!G17/NºAsuntos!E17," - ")</f>
        <v>0.98279569892473118</v>
      </c>
      <c r="AM17" s="263">
        <f>IF(ISNUMBER(((NºAsuntos!I17/NºAsuntos!G17)*11)/factor_trimestre),((NºAsuntos!I17/NºAsuntos!G17)*11)/factor_trimestre," - ")</f>
        <v>1.311816192560175</v>
      </c>
      <c r="AN17" s="247">
        <f>IF(ISNUMBER('Resol  Asuntos'!D17/NºAsuntos!G17),'Resol  Asuntos'!D17/NºAsuntos!G17," - ")</f>
        <v>0.26039387308533918</v>
      </c>
      <c r="AO17" s="248">
        <f>IF(ISNUMBER((NºAsuntos!C17+NºAsuntos!E17)/NºAsuntos!G17),(NºAsuntos!C17+NºAsuntos!E17)/NºAsuntos!G17," - ")</f>
        <v>1.1181619256017505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1670</v>
      </c>
      <c r="G18" s="869">
        <f>SUBTOTAL(9,G15:G17)</f>
        <v>1478</v>
      </c>
      <c r="H18" s="868">
        <f t="shared" ref="H18:O18" si="10">SUBTOTAL(9,H14:H17)</f>
        <v>0</v>
      </c>
      <c r="I18" s="870">
        <f t="shared" si="10"/>
        <v>0</v>
      </c>
      <c r="J18" s="870">
        <f t="shared" si="10"/>
        <v>0</v>
      </c>
      <c r="K18" s="870">
        <f t="shared" si="10"/>
        <v>0</v>
      </c>
      <c r="L18" s="870">
        <f t="shared" si="10"/>
        <v>505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9179</v>
      </c>
      <c r="X18" s="870">
        <f t="shared" si="11"/>
        <v>507</v>
      </c>
      <c r="Y18" s="871">
        <f t="shared" si="11"/>
        <v>9234</v>
      </c>
      <c r="Z18" s="871">
        <f t="shared" si="11"/>
        <v>0</v>
      </c>
      <c r="AA18" s="871">
        <f t="shared" si="11"/>
        <v>2121</v>
      </c>
      <c r="AB18" s="871">
        <f t="shared" si="11"/>
        <v>341</v>
      </c>
      <c r="AC18" s="871">
        <f t="shared" si="11"/>
        <v>2462</v>
      </c>
      <c r="AD18" s="871">
        <f t="shared" si="11"/>
        <v>0</v>
      </c>
      <c r="AE18" s="875">
        <f t="shared" si="11"/>
        <v>0</v>
      </c>
      <c r="AF18" s="868">
        <f t="shared" si="11"/>
        <v>0</v>
      </c>
      <c r="AG18" s="876">
        <f t="shared" si="11"/>
        <v>0</v>
      </c>
      <c r="AH18" s="873">
        <f t="shared" si="11"/>
        <v>0</v>
      </c>
      <c r="AI18" s="868">
        <f t="shared" si="11"/>
        <v>1736</v>
      </c>
      <c r="AJ18" s="870">
        <f t="shared" si="11"/>
        <v>0</v>
      </c>
      <c r="AK18" s="873">
        <f t="shared" si="11"/>
        <v>0</v>
      </c>
      <c r="AL18" s="877">
        <f>IF(ISNUMBER(NºAsuntos!G18/NºAsuntos!E18),NºAsuntos!G18/NºAsuntos!E18," - ")</f>
        <v>0.96246199014365108</v>
      </c>
      <c r="AM18" s="877">
        <f>IF(ISNUMBER(((NºAsuntos!I18/NºAsuntos!G18)*11)/factor_trimestre),((NºAsuntos!I18/NºAsuntos!G18)*11)/factor_trimestre," - ")</f>
        <v>2.5417801503431745</v>
      </c>
      <c r="AN18" s="878">
        <f>IF(ISNUMBER('Resol  Asuntos'!D18/NºAsuntos!G18),'Resol  Asuntos'!D18/NºAsuntos!G18," - ")</f>
        <v>0.18912735592112431</v>
      </c>
      <c r="AO18" s="879">
        <f>IF(ISNUMBER((NºAsuntos!C18+NºAsuntos!E18)/NºAsuntos!G18),(NºAsuntos!C18+NºAsuntos!E18)/NºAsuntos!G18," - ")</f>
        <v>1.2000217888658895</v>
      </c>
      <c r="AP18" s="880" t="str">
        <f t="shared" si="2"/>
        <v xml:space="preserve"> - </v>
      </c>
      <c r="AQ18" s="880">
        <f>IF(ISNUMBER((H18-W18+K18)/(F18)),(H18-W18+K18)/(F18)," - ")</f>
        <v>-5.4964071856287422</v>
      </c>
      <c r="AR18" s="881">
        <f>IF(ISNUMBER((Datos!P18-Datos!Q18)/(Datos!R18-Datos!P18+Datos!Q18)),(Datos!P18-Datos!Q18)/(Datos!R18-Datos!P18+Datos!Q18)," - ")</f>
        <v>-5.8309037900874635E-3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1737</v>
      </c>
      <c r="G19" s="824">
        <f t="shared" si="13"/>
        <v>1545</v>
      </c>
      <c r="H19" s="823">
        <f t="shared" si="13"/>
        <v>0</v>
      </c>
      <c r="I19" s="825">
        <f t="shared" si="13"/>
        <v>0</v>
      </c>
      <c r="J19" s="825">
        <f t="shared" si="13"/>
        <v>0</v>
      </c>
      <c r="K19" s="884">
        <f t="shared" si="13"/>
        <v>0</v>
      </c>
      <c r="L19" s="825">
        <f t="shared" si="13"/>
        <v>2834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9261</v>
      </c>
      <c r="X19" s="824">
        <f t="shared" si="14"/>
        <v>3463</v>
      </c>
      <c r="Y19" s="831">
        <f t="shared" si="14"/>
        <v>12272</v>
      </c>
      <c r="Z19" s="831">
        <f t="shared" si="14"/>
        <v>0</v>
      </c>
      <c r="AA19" s="831">
        <f t="shared" si="14"/>
        <v>2213</v>
      </c>
      <c r="AB19" s="831">
        <f t="shared" si="14"/>
        <v>8694</v>
      </c>
      <c r="AC19" s="831">
        <f t="shared" si="14"/>
        <v>2624</v>
      </c>
      <c r="AD19" s="831">
        <f t="shared" si="14"/>
        <v>0</v>
      </c>
      <c r="AE19" s="833">
        <f t="shared" si="14"/>
        <v>0</v>
      </c>
      <c r="AF19" s="834">
        <f t="shared" si="14"/>
        <v>0</v>
      </c>
      <c r="AG19" s="835">
        <f t="shared" si="14"/>
        <v>0</v>
      </c>
      <c r="AH19" s="833">
        <f t="shared" si="14"/>
        <v>0</v>
      </c>
      <c r="AI19" s="823">
        <f t="shared" si="14"/>
        <v>3421</v>
      </c>
      <c r="AJ19" s="823">
        <f t="shared" si="14"/>
        <v>0</v>
      </c>
      <c r="AK19" s="833">
        <f t="shared" si="14"/>
        <v>0</v>
      </c>
      <c r="AL19" s="887">
        <f>IF(ISNUMBER(NºAsuntos!G19/NºAsuntos!E19),NºAsuntos!G19/NºAsuntos!E19," - ")</f>
        <v>0.99371606676050672</v>
      </c>
      <c r="AM19" s="888">
        <f>IF(ISNUMBER(((NºAsuntos!I19/NºAsuntos!G19)*11)/factor_trimestre),((NºAsuntos!I19/NºAsuntos!G19)*11)/factor_trimestre," - ")</f>
        <v>3.6160267111853086</v>
      </c>
      <c r="AN19" s="888">
        <f>IF(ISNUMBER('Resol  Asuntos'!D19/NºAsuntos!G19),'Resol  Asuntos'!D19/NºAsuntos!G19," - ")</f>
        <v>0.17306622148024486</v>
      </c>
      <c r="AO19" s="889">
        <f>IF(ISNUMBER((NºAsuntos!C19+NºAsuntos!E19)/NºAsuntos!G19),(NºAsuntos!C19+NºAsuntos!E19)/NºAsuntos!G19," - ")</f>
        <v>1.3174988617392625</v>
      </c>
      <c r="AP19" s="890" t="str">
        <f t="shared" si="2"/>
        <v xml:space="preserve"> - </v>
      </c>
      <c r="AQ19" s="891">
        <f>IF(OR(ISNUMBER(FIND("01",Criterios!A8,1)),ISNUMBER(FIND("02",Criterios!A8,1)),ISNUMBER(FIND("03",Criterios!A8,1)),ISNUMBER(FIND("04",Criterios!A8,1))),(I19-W19+K19)/(F19-K19),(H19-W19+K19)/(F19-K19))</f>
        <v>-5.3316062176165806</v>
      </c>
      <c r="AR19" s="892">
        <f>IF(ISNUMBER((Datos!P19-Datos!Q19)/(Datos!R19-Datos!P19+Datos!Q19)),(Datos!P19-Datos!Q19)/(Datos!R19-Datos!P19+Datos!Q19)," - ")</f>
        <v>-6.7467553362651506E-2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618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2.6977356760397742</v>
      </c>
      <c r="F21" s="255">
        <f>IF(ISNUMBER(STDEV(F8:F18)),STDEV(F8:F18),"-")</f>
        <v>925.49248151097015</v>
      </c>
      <c r="G21" s="256">
        <f>IF(ISNUMBER(STDEV(G8:G18)),STDEV(G8:G18),"-")</f>
        <v>743.85852149451102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4604.3515612950323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835.31428359687015</v>
      </c>
      <c r="AJ21" s="255">
        <f t="shared" si="18"/>
        <v>0</v>
      </c>
      <c r="AK21" s="257">
        <f t="shared" si="18"/>
        <v>0</v>
      </c>
      <c r="AL21" s="252">
        <f t="shared" si="18"/>
        <v>9.5803660374813415E-2</v>
      </c>
      <c r="AM21" s="253">
        <f t="shared" si="18"/>
        <v>4.0252613417114693</v>
      </c>
      <c r="AN21" s="253">
        <f t="shared" si="18"/>
        <v>0.1321251303030879</v>
      </c>
      <c r="AO21" s="254">
        <f t="shared" si="18"/>
        <v>0.37041688444123955</v>
      </c>
      <c r="AP21" s="294" t="str">
        <f t="shared" si="18"/>
        <v>-</v>
      </c>
      <c r="AQ21" s="295">
        <f t="shared" si="18"/>
        <v>3.0211325236086557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RTk32uxo0xLL+KfPsylsifJx9UdNOChSoTwkDSbrgeVBmDQ+Pt8O7gMNSkIy/j5bHUtfvuJuaVLyqcQ7FHh9Q==" saltValue="uhjMEOVKviGiNtwQDLVJ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GANDIA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6.5934065934065936E-2</v>
      </c>
      <c r="I9" s="353">
        <f>IF(ISNUMBER((Tasas!C9-Datos!BE9)/Datos!BE9),(Tasas!C9-Datos!BE9)/Datos!BE9," - ")</f>
        <v>-0.21971771882579044</v>
      </c>
      <c r="J9" s="352">
        <f>IF(ISNUMBER((Tasas!D9-Datos!BF9)/Datos!BF9),(Tasas!D9-Datos!BF9)/Datos!BF9," - ")</f>
        <v>-0.57983165834850825</v>
      </c>
      <c r="K9" s="354">
        <f>IF(ISNUMBER((Tasas!E9-Datos!BG9)/Datos!BG9),(Tasas!E9-Datos!BG9)/Datos!BG9," - ")</f>
        <v>-7.493844710226269E-2</v>
      </c>
      <c r="M9" t="e">
        <f>IF(Monitorios="SI",Datos!CE9,0)</f>
        <v>#REF!</v>
      </c>
      <c r="N9" t="e">
        <f>IF(Monitorios="SI",Datos!CF9,0)</f>
        <v>#REF!</v>
      </c>
      <c r="O9" t="e">
        <f>IF(Monitorios="SI",Datos!CG9,0)</f>
        <v>#REF!</v>
      </c>
      <c r="P9" t="e">
        <f>IF(Monitorios="SI",Datos!CH9,0)</f>
        <v>#REF!</v>
      </c>
      <c r="Q9">
        <f>IF(J_V="SI",0,Datos!AG9)</f>
        <v>266</v>
      </c>
      <c r="R9">
        <f>IF(J_V="SI",0,Datos!AH9)</f>
        <v>878</v>
      </c>
      <c r="S9">
        <f>IF(J_V="SI",0,Datos!AI9)</f>
        <v>903</v>
      </c>
      <c r="T9">
        <f>IF(J_V="SI",0,Datos!AJ9)</f>
        <v>236</v>
      </c>
    </row>
    <row r="10" spans="2:20" ht="14.25">
      <c r="B10" s="278" t="s">
        <v>246</v>
      </c>
      <c r="C10" s="7" t="str">
        <f>Datos!A10</f>
        <v>Jdos. Violencia contra la mujer</v>
      </c>
      <c r="D10" s="355">
        <f>IF(ISNUMBER((Datos!I10-Datos!S10)/Datos!S10),(Datos!I10-Datos!S10)/Datos!S10," - ")</f>
        <v>0.67500000000000004</v>
      </c>
      <c r="E10" s="351">
        <f>IF(ISNUMBER((Datos!J10-Datos!T10)/Datos!T10),(Datos!J10-Datos!T10)/Datos!T10," - ")</f>
        <v>5.9405940594059403E-2</v>
      </c>
      <c r="F10" s="351">
        <f>IF(ISNUMBER((Datos!K10-Datos!U10)/Datos!U10),(Datos!K10-Datos!U10)/Datos!U10," - ")</f>
        <v>0.10810810810810811</v>
      </c>
      <c r="G10" s="352">
        <f>IF(ISNUMBER((Datos!L10-Datos!V10)/Datos!V10),(Datos!L10-Datos!V10)/Datos!V10," - ")</f>
        <v>0.37313432835820898</v>
      </c>
      <c r="H10" s="233">
        <f>IF(ISNUMBER((Datos!M10-Datos!W10)/Datos!W10),(Datos!M10-Datos!W10)/Datos!W10," - ")</f>
        <v>0.44</v>
      </c>
      <c r="I10" s="353">
        <f>IF(ISNUMBER((Tasas!C10-Datos!BE10)/Datos!BE10),(Tasas!C10-Datos!BE10)/Datos!BE10," - ")</f>
        <v>0.23917000364033508</v>
      </c>
      <c r="J10" s="352">
        <f>IF(ISNUMBER((Tasas!D10-Datos!BF10)/Datos!BF10),(Tasas!D10-Datos!BF10)/Datos!BF10," - ")</f>
        <v>0.29951219512195126</v>
      </c>
      <c r="K10" s="354">
        <f>IF(ISNUMBER((Tasas!E10-Datos!BG10)/Datos!BG10),(Tasas!E10-Datos!BG10)/Datos!BG10," - ")</f>
        <v>0.11364815775817334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f>IF(ISNUMBER((Tasas!C12-Datos!BE12)/Datos!BE12),(Tasas!C12-Datos!BE12)/Datos!BE12," - ")</f>
        <v>-1</v>
      </c>
      <c r="J12" s="352" t="str">
        <f>IF(ISNUMBER((Tasas!D12-Datos!BF12)/Datos!BF12),(Tasas!D12-Datos!BF12)/Datos!BF12," - ")</f>
        <v xml:space="preserve"> - </v>
      </c>
      <c r="K12" s="354">
        <f>IF(ISNUMBER((Tasas!E12-Datos!BG12)/Datos!BG12),(Tasas!E12-Datos!BG12)/Datos!BG12," - ")</f>
        <v>-0.33333333333333331</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7.1882951653944024E-2</v>
      </c>
      <c r="I13" s="360">
        <f>IF(ISNUMBER((Tasas!C13-Datos!BE13)/Datos!BE13),(Tasas!C13-Datos!BE13)/Datos!BE13," - ")</f>
        <v>-0.21399688878170711</v>
      </c>
      <c r="J13" s="358">
        <f>IF(ISNUMBER((Tasas!D13-Datos!BF13)/Datos!BF13),(Tasas!D13-Datos!BF13)/Datos!BF13," - ")</f>
        <v>-0.57358852546274253</v>
      </c>
      <c r="K13" s="361">
        <f>IF(ISNUMBER((Tasas!E13-Datos!BG13)/Datos!BG13),(Tasas!E13-Datos!BG13)/Datos!BG13," - ")</f>
        <v>-7.3276053531478938E-2</v>
      </c>
      <c r="M13" t="e">
        <f>IF(Monitorios="SI",Datos!CE13,0)</f>
        <v>#REF!</v>
      </c>
      <c r="N13" t="e">
        <f>IF(Monitorios="SI",Datos!CF13,0)</f>
        <v>#REF!</v>
      </c>
      <c r="O13" t="e">
        <f>IF(Monitorios="SI",Datos!CG13,0)</f>
        <v>#REF!</v>
      </c>
      <c r="P13" t="e">
        <f>IF(Monitorios="SI",Datos!CH13,0)</f>
        <v>#REF!</v>
      </c>
      <c r="Q13">
        <f>IF(J_V="SI",0,Datos!AG13)</f>
        <v>266</v>
      </c>
      <c r="R13">
        <f>IF(J_V="SI",0,Datos!AH13)</f>
        <v>878</v>
      </c>
      <c r="S13">
        <f>IF(J_V="SI",0,Datos!AI13)</f>
        <v>903</v>
      </c>
      <c r="T13">
        <f>IF(J_V="SI",0,Datos!AJ13)</f>
        <v>236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-1.6323633782824698E-2</v>
      </c>
      <c r="E15" s="351">
        <f>IF(ISNUMBER(
   IF(D_I="SI",(Datos!J15-Datos!T15)/Datos!T15,(Datos!J15+Datos!AD15-(Datos!T15+Datos!AL15))/(Datos!T15+Datos!AL15))
     ),IF(D_I="SI",(Datos!J15-Datos!T15)/Datos!T15,(Datos!J15+Datos!AD15-(Datos!T15+Datos!AL15))/(Datos!T15+Datos!AL15))," - ")</f>
        <v>2.4764852958685558E-2</v>
      </c>
      <c r="F15" s="351">
        <f>IF(ISNUMBER(
   IF(D_I="SI",(Datos!K15-Datos!U15)/Datos!U15,(Datos!K15+Datos!AE15-(Datos!U15+Datos!AM15))/(Datos!U15+Datos!AM15))
     ),IF(D_I="SI",(Datos!K15-Datos!U15)/Datos!U15,(Datos!K15+Datos!AE15-(Datos!U15+Datos!AM15))/(Datos!U15+Datos!AM15))," - ")</f>
        <v>-4.5391545391545392E-2</v>
      </c>
      <c r="G15" s="352">
        <f>IF(ISNUMBER(
   IF(D_I="SI",(Datos!L15-Datos!V15)/Datos!V15,(Datos!L15+Datos!AF15-(Datos!V15+Datos!AN15))/(Datos!V15+Datos!AN15))
     ),IF(D_I="SI",(Datos!L15-Datos!V15)/Datos!V15,(Datos!L15+Datos!AF15-(Datos!V15+Datos!AN15))/(Datos!V15+Datos!AN15))," - ")</f>
        <v>0.45165945165945165</v>
      </c>
      <c r="H15" s="233">
        <f>IF(ISNUMBER((Datos!M15-Datos!W15)/Datos!W15),(Datos!M15-Datos!W15)/Datos!W15," - ")</f>
        <v>-2.5374105400130124E-2</v>
      </c>
      <c r="I15" s="353">
        <f>IF(ISNUMBER((Tasas!C15-Datos!BE15)/Datos!BE15),(Tasas!C15-Datos!BE15)/Datos!BE15," - ")</f>
        <v>0.52068572685632575</v>
      </c>
      <c r="J15" s="352">
        <f>IF(ISNUMBER((Tasas!D15-Datos!BF15)/Datos!BF15),(Tasas!D15-Datos!BF15)/Datos!BF15," - ")</f>
        <v>2.096926744654231E-2</v>
      </c>
      <c r="K15" s="354">
        <f>IF(ISNUMBER((Tasas!E15-Datos!BG15)/Datos!BG15),(Tasas!E15-Datos!BG15)/Datos!BG15," - ")</f>
        <v>6.7308956279995016E-2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-0.10679611650485436</v>
      </c>
      <c r="E17" s="351">
        <f>IF(ISNUMBER(
   IF(D_I="SI",(Datos!J17-Datos!T17)/Datos!T17,(Datos!J17+Datos!AD17-(Datos!T17+Datos!AL17))/(Datos!T17+Datos!AL17))
     ),IF(D_I="SI",(Datos!J17-Datos!T17)/Datos!T17,(Datos!J17+Datos!AD17-(Datos!T17+Datos!AL17))/(Datos!T17+Datos!AL17))," - ")</f>
        <v>2.6490066225165563E-2</v>
      </c>
      <c r="F17" s="351">
        <f>IF(ISNUMBER(
   IF(D_I="SI",(Datos!K17-Datos!U17)/Datos!U17,(Datos!K17+Datos!AE17-(Datos!U17+Datos!AM17))/(Datos!U17+Datos!AM17))
     ),IF(D_I="SI",(Datos!K17-Datos!U17)/Datos!U17,(Datos!K17+Datos!AE17-(Datos!U17+Datos!AM17))/(Datos!U17+Datos!AM17))," - ")</f>
        <v>-3.2715376226826608E-3</v>
      </c>
      <c r="G17" s="352">
        <f>IF(ISNUMBER(
   IF(D_I="SI",(Datos!L17-Datos!V17)/Datos!V17,(Datos!L17+Datos!AF17-(Datos!V17+Datos!AN17))/(Datos!V17+Datos!AN17))
     ),IF(D_I="SI",(Datos!L17-Datos!V17)/Datos!V17,(Datos!L17+Datos!AF17-(Datos!V17+Datos!AN17))/(Datos!V17+Datos!AN17))," - ")</f>
        <v>0.18478260869565216</v>
      </c>
      <c r="H17" s="233">
        <f>IF(ISNUMBER((Datos!M17-Datos!W17)/Datos!W17),(Datos!M17-Datos!W17)/Datos!W17," - ")</f>
        <v>-0.10861423220973783</v>
      </c>
      <c r="I17" s="353">
        <f>IF(ISNUMBER((Tasas!C17-Datos!BE17)/Datos!BE17),(Tasas!C17-Datos!BE17)/Datos!BE17," - ")</f>
        <v>0.18867139187517842</v>
      </c>
      <c r="J17" s="352">
        <f>IF(ISNUMBER((Tasas!D17-Datos!BF17)/Datos!BF17),(Tasas!D17-Datos!BF17)/Datos!BF17," - ")</f>
        <v>-0.10568845835484642</v>
      </c>
      <c r="K17" s="354">
        <f>IF(ISNUMBER((Tasas!E17-Datos!BG17)/Datos!BG17),(Tasas!E17-Datos!BG17)/Datos!BG17," - ")</f>
        <v>1.6208608302086428E-2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-2.2486772486772486E-2</v>
      </c>
      <c r="E18" s="357">
        <f>IF(ISNUMBER(
   IF(D_I="SI",(Datos!J18-Datos!T18)/Datos!T18,(Datos!J18+Datos!AD18-(Datos!T18+Datos!AL18))/(Datos!T18+Datos!AL18))
     ),IF(D_I="SI",(Datos!J18-Datos!T18)/Datos!T18,(Datos!J18+Datos!AD18-(Datos!T18+Datos!AL18))/(Datos!T18+Datos!AL18))," - ")</f>
        <v>2.4932831810854379E-2</v>
      </c>
      <c r="F18" s="357">
        <f>IF(ISNUMBER(
   IF(D_I="SI",(Datos!K18-Datos!U18)/Datos!U18,(Datos!K18+Datos!AE18-(Datos!U18+Datos!AM18))/(Datos!U18+Datos!AM18))
     ),IF(D_I="SI",(Datos!K18-Datos!U18)/Datos!U18,(Datos!K18+Datos!AE18-(Datos!U18+Datos!AM18))/(Datos!U18+Datos!AM18))," - ")</f>
        <v>-4.1357702349869449E-2</v>
      </c>
      <c r="G18" s="358">
        <f>IF(ISNUMBER(
   IF(D_I="SI",(Datos!L18-Datos!V18)/Datos!V18,(Datos!L18+Datos!AF18-(Datos!V18+Datos!AN18))/(Datos!V18+Datos!AN18))
     ),IF(D_I="SI",(Datos!L18-Datos!V18)/Datos!V18,(Datos!L18+Datos!AF18-(Datos!V18+Datos!AN18))/(Datos!V18+Datos!AN18))," - ")</f>
        <v>0.43504736129905275</v>
      </c>
      <c r="H18" s="359">
        <f>IF(ISNUMBER((Datos!M18-Datos!W18)/Datos!W18),(Datos!M18-Datos!W18)/Datos!W18," - ")</f>
        <v>-3.7694013303769404E-2</v>
      </c>
      <c r="I18" s="360">
        <f>IF(ISNUMBER((Tasas!C18-Datos!BE18)/Datos!BE18),(Tasas!C18-Datos!BE18)/Datos!BE18," - ")</f>
        <v>0.49695810920998251</v>
      </c>
      <c r="J18" s="358">
        <f>IF(ISNUMBER((Tasas!D18-Datos!BF18)/Datos!BF18),(Tasas!D18-Datos!BF18)/Datos!BF18," - ")</f>
        <v>3.8217477520871988E-3</v>
      </c>
      <c r="K18" s="361">
        <f>IF(ISNUMBER((Tasas!E18-Datos!BG18)/Datos!BG18),(Tasas!E18-Datos!BG18)/Datos!BG18," - ")</f>
        <v>6.2236167920023268E-2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8.3113224159182958E-2</v>
      </c>
      <c r="E19" s="366">
        <f>IF(ISNUMBER(
   IF(J_V="SI",(Datos!J19-Datos!T19)/Datos!T19,(Datos!J19+Datos!Z19-(Datos!T19+Datos!AH19))/(Datos!T19+Datos!AH19))
     ),IF(J_V="SI",(Datos!J19-Datos!T19)/Datos!T19,(Datos!J19+Datos!Z19-(Datos!T19+Datos!AH19))/(Datos!T19+Datos!AH19))," - ")</f>
        <v>6.1133041715565987E-2</v>
      </c>
      <c r="F19" s="366">
        <f>IF(ISNUMBER(
   IF(J_V="SI",(Datos!K19-Datos!U19)/Datos!U19,(Datos!K19+Datos!AA19-(Datos!U19+Datos!AI19))/(Datos!U19+Datos!AI19))
     ),IF(J_V="SI",(Datos!K19-Datos!U19)/Datos!U19,(Datos!K19+Datos!AA19-(Datos!U19+Datos!AI19))/(Datos!U19+Datos!AI19))," - ")</f>
        <v>7.0801733477789813E-2</v>
      </c>
      <c r="G19" s="367">
        <f>IF(ISNUMBER(
   IF(J_V="SI",(Datos!L19-Datos!V19)/Datos!V19,(Datos!L19+Datos!AB19-(Datos!V19+Datos!AJ19))/(Datos!V19+Datos!AJ19))
     ),IF(J_V="SI",(Datos!L19-Datos!V19)/Datos!V19,(Datos!L19+Datos!AB19-(Datos!V19+Datos!AJ19))/(Datos!V19+Datos!AJ19))," - ")</f>
        <v>5.6413591285969761E-2</v>
      </c>
      <c r="H19" s="368">
        <f>IF(ISNUMBER((Datos!M19-Datos!W19)/Datos!W19),(Datos!M19-Datos!W19)/Datos!W19," - ")</f>
        <v>1.3329383886255925E-2</v>
      </c>
      <c r="I19" s="365">
        <f>IF(ISNUMBER((Tasas!C19-Datos!BE19)/Datos!BE19),(Tasas!C19-Datos!BE19)/Datos!BE19," - ")</f>
        <v>-1.3436793891890453E-2</v>
      </c>
      <c r="J19" s="366">
        <f>IF(ISNUMBER((Tasas!D19-Datos!BF19)/Datos!BF19),(Tasas!D19-Datos!BF19)/Datos!BF19," - ")</f>
        <v>-0.37601514677239839</v>
      </c>
      <c r="K19" s="367">
        <f>IF(ISNUMBER((Tasas!E19-Datos!BG19)/Datos!BG19),(Tasas!E19-Datos!BG19)/Datos!BG19," - ")</f>
        <v>-4.2567456414827768E-3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0.36411452549302248</v>
      </c>
      <c r="E21" s="281">
        <f t="shared" si="1"/>
        <v>1.7022740975774817E-2</v>
      </c>
      <c r="F21" s="281">
        <f t="shared" si="1"/>
        <v>7.1617339899432739E-2</v>
      </c>
      <c r="G21" s="282">
        <f t="shared" si="1"/>
        <v>0.12234086472821185</v>
      </c>
      <c r="H21" s="288">
        <f t="shared" si="1"/>
        <v>0.19467167257322066</v>
      </c>
      <c r="I21" s="280">
        <f t="shared" si="1"/>
        <v>0.53306205471728429</v>
      </c>
      <c r="J21" s="281">
        <f t="shared" si="1"/>
        <v>0.35239095822311989</v>
      </c>
      <c r="K21" s="282">
        <f t="shared" si="1"/>
        <v>0.15090222521661115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Yn5ln4kV6QoRB5wdbZHYt2x2I3JdqT3kuKS5Ktv1nNSaTZvuQkcyBpqaaqVgsOQO398aPnGWeWjwwQiF0u8bQ==" saltValue="aMxoX6c42kSXjoqBS6Bu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